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plenus403-2/Downloads/"/>
    </mc:Choice>
  </mc:AlternateContent>
  <xr:revisionPtr revIDLastSave="0" documentId="13_ncr:1_{ABCFFC56-835B-7548-9C44-F8DD0E8CF1C8}" xr6:coauthVersionLast="47" xr6:coauthVersionMax="47" xr10:uidLastSave="{00000000-0000-0000-0000-000000000000}"/>
  <bookViews>
    <workbookView xWindow="600" yWindow="460" windowWidth="28200" windowHeight="17540" xr2:uid="{00000000-000D-0000-FFFF-FFFF00000000}"/>
  </bookViews>
  <sheets>
    <sheet name="資産運用（積立投資信託）" sheetId="2" r:id="rId1"/>
    <sheet name="住宅ローン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4" i="2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6" i="5"/>
  <c r="B5" i="5"/>
  <c r="I48" i="2"/>
  <c r="I49" i="2"/>
  <c r="I50" i="2"/>
  <c r="I51" i="2"/>
  <c r="B16" i="2"/>
  <c r="C31" i="2"/>
  <c r="C32" i="2" s="1"/>
  <c r="D68" i="2"/>
  <c r="D67" i="2"/>
  <c r="D66" i="2"/>
  <c r="D57" i="2"/>
  <c r="D58" i="2"/>
  <c r="D59" i="2"/>
  <c r="AD4" i="2"/>
  <c r="AD5" i="2" s="1"/>
  <c r="AC4" i="2"/>
  <c r="AC5" i="2" s="1"/>
  <c r="AB4" i="2"/>
  <c r="AB5" i="2" s="1"/>
  <c r="AB6" i="2" s="1"/>
  <c r="AA4" i="2"/>
  <c r="AA5" i="2" s="1"/>
  <c r="D8" i="2"/>
  <c r="D9" i="2" s="1"/>
  <c r="E23" i="2"/>
  <c r="E13" i="2"/>
  <c r="B17" i="2" s="1"/>
  <c r="E12" i="2"/>
  <c r="C88" i="2"/>
  <c r="E88" i="2" s="1"/>
  <c r="C87" i="2"/>
  <c r="E87" i="2" s="1"/>
  <c r="C86" i="2"/>
  <c r="E86" i="2" s="1"/>
  <c r="C85" i="2"/>
  <c r="E85" i="2" s="1"/>
  <c r="C84" i="2"/>
  <c r="E84" i="2" s="1"/>
  <c r="C83" i="2"/>
  <c r="E83" i="2" s="1"/>
  <c r="C79" i="2"/>
  <c r="E79" i="2" s="1"/>
  <c r="C78" i="2"/>
  <c r="E78" i="2" s="1"/>
  <c r="C77" i="2"/>
  <c r="E77" i="2" s="1"/>
  <c r="C76" i="2"/>
  <c r="E76" i="2" s="1"/>
  <c r="C75" i="2"/>
  <c r="E75" i="2" s="1"/>
  <c r="C74" i="2"/>
  <c r="E74" i="2" s="1"/>
  <c r="C70" i="2"/>
  <c r="E70" i="2" s="1"/>
  <c r="C69" i="2"/>
  <c r="E69" i="2" s="1"/>
  <c r="C68" i="2"/>
  <c r="C67" i="2"/>
  <c r="C66" i="2"/>
  <c r="C65" i="2"/>
  <c r="E65" i="2" s="1"/>
  <c r="C60" i="2"/>
  <c r="E60" i="2" s="1"/>
  <c r="C58" i="2"/>
  <c r="C59" i="2"/>
  <c r="C56" i="2"/>
  <c r="E56" i="2" s="1"/>
  <c r="C57" i="2"/>
  <c r="AM11" i="2"/>
  <c r="AL11" i="2"/>
  <c r="C61" i="2" s="1"/>
  <c r="E61" i="2" s="1"/>
  <c r="AK11" i="2"/>
  <c r="B32" i="2"/>
  <c r="B33" i="2" s="1"/>
  <c r="I47" i="2"/>
  <c r="I46" i="2"/>
  <c r="I45" i="2"/>
  <c r="I44" i="2"/>
  <c r="D5" i="5"/>
  <c r="C5" i="5"/>
  <c r="A5" i="5"/>
  <c r="I43" i="2"/>
  <c r="I42" i="2"/>
  <c r="I41" i="2"/>
  <c r="I40" i="2"/>
  <c r="I39" i="2"/>
  <c r="N5" i="2"/>
  <c r="O5" i="2" s="1"/>
  <c r="I38" i="2"/>
  <c r="V4" i="2"/>
  <c r="O4" i="2"/>
  <c r="I37" i="2"/>
  <c r="P5" i="2" l="1"/>
  <c r="P4" i="2"/>
  <c r="Q5" i="2"/>
  <c r="Q4" i="2"/>
  <c r="E59" i="2"/>
  <c r="E68" i="2"/>
  <c r="E58" i="2"/>
  <c r="E67" i="2"/>
  <c r="X4" i="2"/>
  <c r="Z4" i="2" s="1"/>
  <c r="AC6" i="2"/>
  <c r="AG5" i="2"/>
  <c r="AG4" i="2"/>
  <c r="AD6" i="2"/>
  <c r="AH5" i="2"/>
  <c r="AH4" i="2"/>
  <c r="E57" i="2"/>
  <c r="AA6" i="2"/>
  <c r="AE5" i="2"/>
  <c r="AE4" i="2"/>
  <c r="X5" i="2"/>
  <c r="AB7" i="2"/>
  <c r="AF6" i="2"/>
  <c r="AF4" i="2"/>
  <c r="AF5" i="2"/>
  <c r="E66" i="2"/>
  <c r="B18" i="2"/>
  <c r="C80" i="2"/>
  <c r="C62" i="2"/>
  <c r="C71" i="2"/>
  <c r="C89" i="2"/>
  <c r="N6" i="2"/>
  <c r="G5" i="5"/>
  <c r="A6" i="5"/>
  <c r="F5" i="5"/>
  <c r="Y4" i="2" l="1"/>
  <c r="V5" i="2" s="1"/>
  <c r="S5" i="2"/>
  <c r="Z5" i="2"/>
  <c r="S4" i="2"/>
  <c r="AB8" i="2"/>
  <c r="AF7" i="2"/>
  <c r="AA7" i="2"/>
  <c r="AE6" i="2"/>
  <c r="AD7" i="2"/>
  <c r="AH6" i="2"/>
  <c r="AC7" i="2"/>
  <c r="AG6" i="2"/>
  <c r="B19" i="2"/>
  <c r="A7" i="5"/>
  <c r="G6" i="5"/>
  <c r="N7" i="2"/>
  <c r="O6" i="2"/>
  <c r="E5" i="5"/>
  <c r="C6" i="5" s="1"/>
  <c r="F6" i="5"/>
  <c r="P6" i="2" l="1"/>
  <c r="B34" i="2"/>
  <c r="T4" i="2"/>
  <c r="T5" i="2" s="1"/>
  <c r="Q6" i="2"/>
  <c r="X6" i="2"/>
  <c r="Z6" i="2" s="1"/>
  <c r="AC8" i="2"/>
  <c r="AG7" i="2"/>
  <c r="AA8" i="2"/>
  <c r="AE7" i="2"/>
  <c r="AD8" i="2"/>
  <c r="AH7" i="2"/>
  <c r="AB9" i="2"/>
  <c r="AF8" i="2"/>
  <c r="F7" i="5"/>
  <c r="O7" i="2"/>
  <c r="N8" i="2"/>
  <c r="D6" i="5"/>
  <c r="E6" i="5" s="1"/>
  <c r="C7" i="5" s="1"/>
  <c r="A8" i="5"/>
  <c r="G7" i="5"/>
  <c r="P7" i="2" l="1"/>
  <c r="Q7" i="2"/>
  <c r="S6" i="2"/>
  <c r="T6" i="2" s="1"/>
  <c r="AD9" i="2"/>
  <c r="AH8" i="2"/>
  <c r="AC9" i="2"/>
  <c r="AG8" i="2"/>
  <c r="X7" i="2"/>
  <c r="Z7" i="2" s="1"/>
  <c r="AB10" i="2"/>
  <c r="AF9" i="2"/>
  <c r="AA9" i="2"/>
  <c r="AE8" i="2"/>
  <c r="D7" i="5"/>
  <c r="G8" i="5"/>
  <c r="A9" i="5"/>
  <c r="F8" i="5"/>
  <c r="E7" i="5"/>
  <c r="C8" i="5" s="1"/>
  <c r="O8" i="2"/>
  <c r="N9" i="2"/>
  <c r="P8" i="2" l="1"/>
  <c r="Q8" i="2"/>
  <c r="S7" i="2"/>
  <c r="T7" i="2" s="1"/>
  <c r="AC10" i="2"/>
  <c r="AG9" i="2"/>
  <c r="AA10" i="2"/>
  <c r="AE9" i="2"/>
  <c r="X8" i="2"/>
  <c r="Z8" i="2" s="1"/>
  <c r="AD10" i="2"/>
  <c r="AH9" i="2"/>
  <c r="AB11" i="2"/>
  <c r="AF10" i="2"/>
  <c r="D8" i="5"/>
  <c r="E8" i="5" s="1"/>
  <c r="C9" i="5" s="1"/>
  <c r="F9" i="5"/>
  <c r="O9" i="2"/>
  <c r="N10" i="2"/>
  <c r="G9" i="5"/>
  <c r="A10" i="5"/>
  <c r="P9" i="2" l="1"/>
  <c r="S8" i="2"/>
  <c r="T8" i="2" s="1"/>
  <c r="Q9" i="2"/>
  <c r="X9" i="2"/>
  <c r="Z9" i="2" s="1"/>
  <c r="AD11" i="2"/>
  <c r="AH10" i="2"/>
  <c r="AA11" i="2"/>
  <c r="AE10" i="2"/>
  <c r="AB12" i="2"/>
  <c r="AF11" i="2"/>
  <c r="AC11" i="2"/>
  <c r="AG10" i="2"/>
  <c r="D9" i="5"/>
  <c r="E9" i="5" s="1"/>
  <c r="C10" i="5" s="1"/>
  <c r="N11" i="2"/>
  <c r="O10" i="2"/>
  <c r="F10" i="5"/>
  <c r="A11" i="5"/>
  <c r="G10" i="5"/>
  <c r="P10" i="2" l="1"/>
  <c r="S9" i="2"/>
  <c r="T9" i="2" s="1"/>
  <c r="Q10" i="2"/>
  <c r="AB13" i="2"/>
  <c r="AF12" i="2"/>
  <c r="X10" i="2"/>
  <c r="Z10" i="2" s="1"/>
  <c r="AD12" i="2"/>
  <c r="AH11" i="2"/>
  <c r="AC12" i="2"/>
  <c r="AG11" i="2"/>
  <c r="AA12" i="2"/>
  <c r="AE11" i="2"/>
  <c r="D10" i="5"/>
  <c r="E10" i="5"/>
  <c r="C11" i="5" s="1"/>
  <c r="F11" i="5"/>
  <c r="A12" i="5"/>
  <c r="G11" i="5"/>
  <c r="N12" i="2"/>
  <c r="O11" i="2"/>
  <c r="P11" i="2" l="1"/>
  <c r="S10" i="2"/>
  <c r="T10" i="2" s="1"/>
  <c r="Q11" i="2"/>
  <c r="X11" i="2"/>
  <c r="Z11" i="2" s="1"/>
  <c r="AC13" i="2"/>
  <c r="AG12" i="2"/>
  <c r="AA13" i="2"/>
  <c r="AE12" i="2"/>
  <c r="AD13" i="2"/>
  <c r="AH12" i="2"/>
  <c r="AB14" i="2"/>
  <c r="AF13" i="2"/>
  <c r="D11" i="5"/>
  <c r="E11" i="5" s="1"/>
  <c r="C12" i="5" s="1"/>
  <c r="N13" i="2"/>
  <c r="O12" i="2"/>
  <c r="A13" i="5"/>
  <c r="G12" i="5"/>
  <c r="F12" i="5"/>
  <c r="P12" i="2" l="1"/>
  <c r="Q12" i="2"/>
  <c r="S11" i="2"/>
  <c r="T11" i="2" s="1"/>
  <c r="AD14" i="2"/>
  <c r="AH13" i="2"/>
  <c r="X12" i="2"/>
  <c r="Z12" i="2" s="1"/>
  <c r="AC14" i="2"/>
  <c r="AG13" i="2"/>
  <c r="AB15" i="2"/>
  <c r="AF14" i="2"/>
  <c r="AA14" i="2"/>
  <c r="AE13" i="2"/>
  <c r="C13" i="5"/>
  <c r="D12" i="5"/>
  <c r="O13" i="2"/>
  <c r="N14" i="2"/>
  <c r="G13" i="5"/>
  <c r="A14" i="5"/>
  <c r="F13" i="5"/>
  <c r="E12" i="5"/>
  <c r="P13" i="2" l="1"/>
  <c r="Q13" i="2"/>
  <c r="S12" i="2"/>
  <c r="T12" i="2" s="1"/>
  <c r="AB16" i="2"/>
  <c r="AF15" i="2"/>
  <c r="X13" i="2"/>
  <c r="Z13" i="2" s="1"/>
  <c r="AA15" i="2"/>
  <c r="AE14" i="2"/>
  <c r="AC15" i="2"/>
  <c r="AG14" i="2"/>
  <c r="AD15" i="2"/>
  <c r="AH14" i="2"/>
  <c r="F14" i="5"/>
  <c r="A15" i="5"/>
  <c r="G14" i="5"/>
  <c r="N15" i="2"/>
  <c r="O14" i="2"/>
  <c r="D13" i="5"/>
  <c r="E13" i="5" s="1"/>
  <c r="C14" i="5" s="1"/>
  <c r="P14" i="2" l="1"/>
  <c r="S13" i="2"/>
  <c r="T13" i="2" s="1"/>
  <c r="Q14" i="2"/>
  <c r="AC16" i="2"/>
  <c r="AG15" i="2"/>
  <c r="AD16" i="2"/>
  <c r="AH15" i="2"/>
  <c r="AA16" i="2"/>
  <c r="AE15" i="2"/>
  <c r="X14" i="2"/>
  <c r="Z14" i="2" s="1"/>
  <c r="AB17" i="2"/>
  <c r="AF16" i="2"/>
  <c r="D14" i="5"/>
  <c r="N16" i="2"/>
  <c r="O15" i="2"/>
  <c r="F15" i="5"/>
  <c r="E14" i="5"/>
  <c r="C15" i="5" s="1"/>
  <c r="A16" i="5"/>
  <c r="G15" i="5"/>
  <c r="P15" i="2" l="1"/>
  <c r="S14" i="2"/>
  <c r="T14" i="2" s="1"/>
  <c r="Q15" i="2"/>
  <c r="X15" i="2"/>
  <c r="AD17" i="2"/>
  <c r="AH16" i="2"/>
  <c r="AB18" i="2"/>
  <c r="AF17" i="2"/>
  <c r="AA17" i="2"/>
  <c r="AE16" i="2"/>
  <c r="AC17" i="2"/>
  <c r="AG16" i="2"/>
  <c r="C16" i="5"/>
  <c r="D15" i="5"/>
  <c r="F16" i="5"/>
  <c r="E15" i="5"/>
  <c r="O16" i="2"/>
  <c r="N17" i="2"/>
  <c r="G16" i="5"/>
  <c r="A17" i="5"/>
  <c r="P16" i="2" l="1"/>
  <c r="Z15" i="2"/>
  <c r="Q16" i="2"/>
  <c r="S15" i="2"/>
  <c r="T15" i="2" s="1"/>
  <c r="AD18" i="2"/>
  <c r="AH17" i="2"/>
  <c r="AA18" i="2"/>
  <c r="AE17" i="2"/>
  <c r="AC18" i="2"/>
  <c r="AG17" i="2"/>
  <c r="AB19" i="2"/>
  <c r="AF18" i="2"/>
  <c r="X16" i="2"/>
  <c r="D16" i="5"/>
  <c r="E16" i="5"/>
  <c r="C17" i="5" s="1"/>
  <c r="F17" i="5"/>
  <c r="A18" i="5"/>
  <c r="G17" i="5"/>
  <c r="O17" i="2"/>
  <c r="N18" i="2"/>
  <c r="P17" i="2" l="1"/>
  <c r="Z16" i="2"/>
  <c r="Q17" i="2"/>
  <c r="S16" i="2"/>
  <c r="T16" i="2" s="1"/>
  <c r="AB20" i="2"/>
  <c r="AF19" i="2"/>
  <c r="AA19" i="2"/>
  <c r="AE18" i="2"/>
  <c r="X17" i="2"/>
  <c r="Z17" i="2" s="1"/>
  <c r="AC19" i="2"/>
  <c r="AG18" i="2"/>
  <c r="AD19" i="2"/>
  <c r="AH18" i="2"/>
  <c r="D17" i="5"/>
  <c r="E17" i="5" s="1"/>
  <c r="C18" i="5" s="1"/>
  <c r="F18" i="5"/>
  <c r="A19" i="5"/>
  <c r="G18" i="5"/>
  <c r="O18" i="2"/>
  <c r="N19" i="2"/>
  <c r="P18" i="2" l="1"/>
  <c r="S17" i="2"/>
  <c r="T17" i="2" s="1"/>
  <c r="Q18" i="2"/>
  <c r="AC20" i="2"/>
  <c r="AG19" i="2"/>
  <c r="X18" i="2"/>
  <c r="Z18" i="2" s="1"/>
  <c r="AA20" i="2"/>
  <c r="AE19" i="2"/>
  <c r="AD20" i="2"/>
  <c r="AH19" i="2"/>
  <c r="AB21" i="2"/>
  <c r="AF20" i="2"/>
  <c r="D18" i="5"/>
  <c r="G19" i="5"/>
  <c r="A20" i="5"/>
  <c r="F19" i="5"/>
  <c r="E18" i="5"/>
  <c r="C19" i="5" s="1"/>
  <c r="O19" i="2"/>
  <c r="N20" i="2"/>
  <c r="P19" i="2" l="1"/>
  <c r="S18" i="2"/>
  <c r="T18" i="2" s="1"/>
  <c r="Q19" i="2"/>
  <c r="AC21" i="2"/>
  <c r="AG20" i="2"/>
  <c r="AD21" i="2"/>
  <c r="AH20" i="2"/>
  <c r="X19" i="2"/>
  <c r="Z19" i="2" s="1"/>
  <c r="AB22" i="2"/>
  <c r="AF21" i="2"/>
  <c r="AA21" i="2"/>
  <c r="AE20" i="2"/>
  <c r="D19" i="5"/>
  <c r="E19" i="5" s="1"/>
  <c r="C20" i="5" s="1"/>
  <c r="G20" i="5"/>
  <c r="A21" i="5"/>
  <c r="F20" i="5"/>
  <c r="O20" i="2"/>
  <c r="N21" i="2"/>
  <c r="P20" i="2" l="1"/>
  <c r="S19" i="2"/>
  <c r="T19" i="2" s="1"/>
  <c r="Q20" i="2"/>
  <c r="AB23" i="2"/>
  <c r="AF22" i="2"/>
  <c r="AD22" i="2"/>
  <c r="AH21" i="2"/>
  <c r="X20" i="2"/>
  <c r="Z20" i="2" s="1"/>
  <c r="AA22" i="2"/>
  <c r="AE21" i="2"/>
  <c r="AC22" i="2"/>
  <c r="AG21" i="2"/>
  <c r="D20" i="5"/>
  <c r="F21" i="5"/>
  <c r="E20" i="5"/>
  <c r="C21" i="5" s="1"/>
  <c r="A22" i="5"/>
  <c r="G21" i="5"/>
  <c r="O21" i="2"/>
  <c r="N22" i="2"/>
  <c r="P21" i="2" l="1"/>
  <c r="S20" i="2"/>
  <c r="T20" i="2" s="1"/>
  <c r="Q21" i="2"/>
  <c r="AA23" i="2"/>
  <c r="AE22" i="2"/>
  <c r="AD23" i="2"/>
  <c r="AH22" i="2"/>
  <c r="AC23" i="2"/>
  <c r="AG22" i="2"/>
  <c r="X21" i="2"/>
  <c r="Z21" i="2" s="1"/>
  <c r="AB24" i="2"/>
  <c r="AF23" i="2"/>
  <c r="D21" i="5"/>
  <c r="E21" i="5" s="1"/>
  <c r="C22" i="5" s="1"/>
  <c r="F22" i="5"/>
  <c r="O22" i="2"/>
  <c r="N23" i="2"/>
  <c r="A23" i="5"/>
  <c r="G22" i="5"/>
  <c r="P22" i="2" l="1"/>
  <c r="S21" i="2"/>
  <c r="T21" i="2" s="1"/>
  <c r="Q22" i="2"/>
  <c r="X22" i="2"/>
  <c r="Z22" i="2" s="1"/>
  <c r="AD24" i="2"/>
  <c r="AH23" i="2"/>
  <c r="AB25" i="2"/>
  <c r="AF24" i="2"/>
  <c r="AC24" i="2"/>
  <c r="AG23" i="2"/>
  <c r="AA24" i="2"/>
  <c r="AE23" i="2"/>
  <c r="D22" i="5"/>
  <c r="A24" i="5"/>
  <c r="G23" i="5"/>
  <c r="F23" i="5"/>
  <c r="E22" i="5"/>
  <c r="C23" i="5" s="1"/>
  <c r="O23" i="2"/>
  <c r="N24" i="2"/>
  <c r="P23" i="2" l="1"/>
  <c r="S22" i="2"/>
  <c r="T22" i="2" s="1"/>
  <c r="Q23" i="2"/>
  <c r="AD25" i="2"/>
  <c r="AH24" i="2"/>
  <c r="AA25" i="2"/>
  <c r="AE24" i="2"/>
  <c r="X23" i="2"/>
  <c r="Z23" i="2" s="1"/>
  <c r="AC25" i="2"/>
  <c r="AG24" i="2"/>
  <c r="AB26" i="2"/>
  <c r="AF25" i="2"/>
  <c r="D23" i="5"/>
  <c r="E23" i="5" s="1"/>
  <c r="C24" i="5" s="1"/>
  <c r="O24" i="2"/>
  <c r="N25" i="2"/>
  <c r="F24" i="5"/>
  <c r="G24" i="5"/>
  <c r="A25" i="5"/>
  <c r="P24" i="2" l="1"/>
  <c r="Q24" i="2"/>
  <c r="S23" i="2"/>
  <c r="T23" i="2" s="1"/>
  <c r="AC26" i="2"/>
  <c r="AG25" i="2"/>
  <c r="AA26" i="2"/>
  <c r="AE25" i="2"/>
  <c r="X24" i="2"/>
  <c r="Z24" i="2" s="1"/>
  <c r="AB27" i="2"/>
  <c r="AF26" i="2"/>
  <c r="AD26" i="2"/>
  <c r="AH25" i="2"/>
  <c r="D24" i="5"/>
  <c r="E24" i="5" s="1"/>
  <c r="C25" i="5" s="1"/>
  <c r="F25" i="5"/>
  <c r="O25" i="2"/>
  <c r="N26" i="2"/>
  <c r="A26" i="5"/>
  <c r="G25" i="5"/>
  <c r="P25" i="2" l="1"/>
  <c r="S24" i="2"/>
  <c r="T24" i="2" s="1"/>
  <c r="Q25" i="2"/>
  <c r="AB28" i="2"/>
  <c r="AF27" i="2"/>
  <c r="AA27" i="2"/>
  <c r="AE26" i="2"/>
  <c r="AD27" i="2"/>
  <c r="AH26" i="2"/>
  <c r="X25" i="2"/>
  <c r="Z25" i="2" s="1"/>
  <c r="AC27" i="2"/>
  <c r="AG26" i="2"/>
  <c r="D25" i="5"/>
  <c r="O26" i="2"/>
  <c r="N27" i="2"/>
  <c r="F26" i="5"/>
  <c r="E25" i="5"/>
  <c r="C26" i="5" s="1"/>
  <c r="A27" i="5"/>
  <c r="G26" i="5"/>
  <c r="P26" i="2" l="1"/>
  <c r="S25" i="2"/>
  <c r="T25" i="2" s="1"/>
  <c r="Q26" i="2"/>
  <c r="AC28" i="2"/>
  <c r="AG27" i="2"/>
  <c r="AA28" i="2"/>
  <c r="AE27" i="2"/>
  <c r="X26" i="2"/>
  <c r="Z26" i="2" s="1"/>
  <c r="AD28" i="2"/>
  <c r="AH27" i="2"/>
  <c r="AB29" i="2"/>
  <c r="AF28" i="2"/>
  <c r="D26" i="5"/>
  <c r="A28" i="5"/>
  <c r="G27" i="5"/>
  <c r="E26" i="5"/>
  <c r="C27" i="5" s="1"/>
  <c r="F27" i="5"/>
  <c r="O27" i="2"/>
  <c r="N28" i="2"/>
  <c r="P27" i="2" l="1"/>
  <c r="S26" i="2"/>
  <c r="T26" i="2" s="1"/>
  <c r="Q27" i="2"/>
  <c r="AD29" i="2"/>
  <c r="AH28" i="2"/>
  <c r="AA29" i="2"/>
  <c r="AE28" i="2"/>
  <c r="X27" i="2"/>
  <c r="Z27" i="2" s="1"/>
  <c r="AB30" i="2"/>
  <c r="AF29" i="2"/>
  <c r="AC29" i="2"/>
  <c r="AG28" i="2"/>
  <c r="D27" i="5"/>
  <c r="O28" i="2"/>
  <c r="N29" i="2"/>
  <c r="A29" i="5"/>
  <c r="G28" i="5"/>
  <c r="F28" i="5"/>
  <c r="E27" i="5"/>
  <c r="C28" i="5" s="1"/>
  <c r="P28" i="2" l="1"/>
  <c r="S27" i="2"/>
  <c r="T27" i="2" s="1"/>
  <c r="Q28" i="2"/>
  <c r="AB31" i="2"/>
  <c r="AF30" i="2"/>
  <c r="AA30" i="2"/>
  <c r="AE29" i="2"/>
  <c r="X28" i="2"/>
  <c r="Z28" i="2" s="1"/>
  <c r="AC30" i="2"/>
  <c r="AG29" i="2"/>
  <c r="AD30" i="2"/>
  <c r="AH29" i="2"/>
  <c r="D28" i="5"/>
  <c r="E28" i="5" s="1"/>
  <c r="C29" i="5" s="1"/>
  <c r="F29" i="5"/>
  <c r="A30" i="5"/>
  <c r="G29" i="5"/>
  <c r="O29" i="2"/>
  <c r="N30" i="2"/>
  <c r="P29" i="2" l="1"/>
  <c r="S28" i="2"/>
  <c r="T28" i="2" s="1"/>
  <c r="Q29" i="2"/>
  <c r="X29" i="2"/>
  <c r="Z29" i="2" s="1"/>
  <c r="AC31" i="2"/>
  <c r="AG30" i="2"/>
  <c r="AA31" i="2"/>
  <c r="AE30" i="2"/>
  <c r="AD31" i="2"/>
  <c r="AH30" i="2"/>
  <c r="AB32" i="2"/>
  <c r="AF31" i="2"/>
  <c r="D29" i="5"/>
  <c r="F30" i="5"/>
  <c r="E29" i="5"/>
  <c r="C30" i="5" s="1"/>
  <c r="N31" i="2"/>
  <c r="O30" i="2"/>
  <c r="A31" i="5"/>
  <c r="G30" i="5"/>
  <c r="P30" i="2" l="1"/>
  <c r="S29" i="2"/>
  <c r="T29" i="2" s="1"/>
  <c r="Q30" i="2"/>
  <c r="AD32" i="2"/>
  <c r="AH31" i="2"/>
  <c r="AC32" i="2"/>
  <c r="AG31" i="2"/>
  <c r="AB33" i="2"/>
  <c r="AF32" i="2"/>
  <c r="AA32" i="2"/>
  <c r="AE31" i="2"/>
  <c r="X30" i="2"/>
  <c r="Z30" i="2" s="1"/>
  <c r="D30" i="5"/>
  <c r="C31" i="5"/>
  <c r="E30" i="5"/>
  <c r="F31" i="5"/>
  <c r="A32" i="5"/>
  <c r="G31" i="5"/>
  <c r="N32" i="2"/>
  <c r="O31" i="2"/>
  <c r="P31" i="2" l="1"/>
  <c r="Q31" i="2"/>
  <c r="S30" i="2"/>
  <c r="T30" i="2" s="1"/>
  <c r="X31" i="2"/>
  <c r="Z31" i="2" s="1"/>
  <c r="AC33" i="2"/>
  <c r="AG32" i="2"/>
  <c r="AA33" i="2"/>
  <c r="AE32" i="2"/>
  <c r="AB34" i="2"/>
  <c r="AF33" i="2"/>
  <c r="AD33" i="2"/>
  <c r="AH32" i="2"/>
  <c r="F32" i="5"/>
  <c r="E31" i="5"/>
  <c r="D31" i="5"/>
  <c r="C32" i="5"/>
  <c r="N33" i="2"/>
  <c r="O32" i="2"/>
  <c r="A33" i="5"/>
  <c r="G32" i="5"/>
  <c r="P32" i="2" l="1"/>
  <c r="Q32" i="2"/>
  <c r="S31" i="2"/>
  <c r="T31" i="2" s="1"/>
  <c r="AB35" i="2"/>
  <c r="AF34" i="2"/>
  <c r="AC34" i="2"/>
  <c r="AG33" i="2"/>
  <c r="AD34" i="2"/>
  <c r="AH33" i="2"/>
  <c r="AA34" i="2"/>
  <c r="AE33" i="2"/>
  <c r="X32" i="2"/>
  <c r="Z32" i="2" s="1"/>
  <c r="G33" i="5"/>
  <c r="A34" i="5"/>
  <c r="N34" i="2"/>
  <c r="O33" i="2"/>
  <c r="F33" i="5"/>
  <c r="D32" i="5"/>
  <c r="E32" i="5" s="1"/>
  <c r="C33" i="5" s="1"/>
  <c r="P33" i="2" l="1"/>
  <c r="S32" i="2"/>
  <c r="T32" i="2" s="1"/>
  <c r="Q33" i="2"/>
  <c r="AA35" i="2"/>
  <c r="AE34" i="2"/>
  <c r="AC35" i="2"/>
  <c r="AG34" i="2"/>
  <c r="AD35" i="2"/>
  <c r="AH34" i="2"/>
  <c r="AB36" i="2"/>
  <c r="AF35" i="2"/>
  <c r="X33" i="2"/>
  <c r="Z33" i="2" s="1"/>
  <c r="D33" i="5"/>
  <c r="N35" i="2"/>
  <c r="O34" i="2"/>
  <c r="F34" i="5"/>
  <c r="E33" i="5"/>
  <c r="C34" i="5" s="1"/>
  <c r="A35" i="5"/>
  <c r="G34" i="5"/>
  <c r="P34" i="2" l="1"/>
  <c r="Q34" i="2"/>
  <c r="S33" i="2"/>
  <c r="T33" i="2" s="1"/>
  <c r="AB37" i="2"/>
  <c r="AF36" i="2"/>
  <c r="AC36" i="2"/>
  <c r="AG35" i="2"/>
  <c r="AD36" i="2"/>
  <c r="AH35" i="2"/>
  <c r="AA36" i="2"/>
  <c r="AE35" i="2"/>
  <c r="X34" i="2"/>
  <c r="Z34" i="2" s="1"/>
  <c r="D34" i="5"/>
  <c r="F35" i="5"/>
  <c r="E34" i="5"/>
  <c r="C35" i="5" s="1"/>
  <c r="A36" i="5"/>
  <c r="G35" i="5"/>
  <c r="N36" i="2"/>
  <c r="O35" i="2"/>
  <c r="P35" i="2" l="1"/>
  <c r="Q35" i="2"/>
  <c r="S34" i="2"/>
  <c r="T34" i="2" s="1"/>
  <c r="AA37" i="2"/>
  <c r="AE36" i="2"/>
  <c r="AC37" i="2"/>
  <c r="AG36" i="2"/>
  <c r="AD37" i="2"/>
  <c r="AH36" i="2"/>
  <c r="AB38" i="2"/>
  <c r="AF37" i="2"/>
  <c r="X35" i="2"/>
  <c r="Z35" i="2" s="1"/>
  <c r="D35" i="5"/>
  <c r="E35" i="5" s="1"/>
  <c r="C36" i="5" s="1"/>
  <c r="F36" i="5"/>
  <c r="N37" i="2"/>
  <c r="O36" i="2"/>
  <c r="G36" i="5"/>
  <c r="A37" i="5"/>
  <c r="P36" i="2" l="1"/>
  <c r="Q36" i="2"/>
  <c r="S35" i="2"/>
  <c r="T35" i="2" s="1"/>
  <c r="AB39" i="2"/>
  <c r="AF38" i="2"/>
  <c r="AC38" i="2"/>
  <c r="AG37" i="2"/>
  <c r="AD38" i="2"/>
  <c r="AH37" i="2"/>
  <c r="AA38" i="2"/>
  <c r="AE37" i="2"/>
  <c r="X36" i="2"/>
  <c r="Z36" i="2" s="1"/>
  <c r="D36" i="5"/>
  <c r="N38" i="2"/>
  <c r="O37" i="2"/>
  <c r="G37" i="5"/>
  <c r="A38" i="5"/>
  <c r="F37" i="5"/>
  <c r="E36" i="5"/>
  <c r="C37" i="5" s="1"/>
  <c r="P37" i="2" l="1"/>
  <c r="Q37" i="2"/>
  <c r="S36" i="2"/>
  <c r="T36" i="2" s="1"/>
  <c r="AA39" i="2"/>
  <c r="AE38" i="2"/>
  <c r="AC39" i="2"/>
  <c r="AG38" i="2"/>
  <c r="AD39" i="2"/>
  <c r="AH38" i="2"/>
  <c r="AB40" i="2"/>
  <c r="AF39" i="2"/>
  <c r="X37" i="2"/>
  <c r="Z37" i="2" s="1"/>
  <c r="C38" i="5"/>
  <c r="D37" i="5"/>
  <c r="F38" i="5"/>
  <c r="E37" i="5"/>
  <c r="N39" i="2"/>
  <c r="O38" i="2"/>
  <c r="A39" i="5"/>
  <c r="G38" i="5"/>
  <c r="P38" i="2" l="1"/>
  <c r="S37" i="2"/>
  <c r="T37" i="2" s="1"/>
  <c r="Q38" i="2"/>
  <c r="AB41" i="2"/>
  <c r="AF40" i="2"/>
  <c r="AC40" i="2"/>
  <c r="AG39" i="2"/>
  <c r="AD40" i="2"/>
  <c r="AH39" i="2"/>
  <c r="AA40" i="2"/>
  <c r="AE39" i="2"/>
  <c r="X38" i="2"/>
  <c r="Z38" i="2" s="1"/>
  <c r="A40" i="5"/>
  <c r="G40" i="5" s="1"/>
  <c r="G39" i="5"/>
  <c r="N40" i="2"/>
  <c r="O39" i="2"/>
  <c r="F39" i="5"/>
  <c r="E38" i="5"/>
  <c r="D38" i="5"/>
  <c r="C39" i="5"/>
  <c r="P39" i="2" l="1"/>
  <c r="Q39" i="2"/>
  <c r="S38" i="2"/>
  <c r="T38" i="2" s="1"/>
  <c r="AA41" i="2"/>
  <c r="AE40" i="2"/>
  <c r="AC41" i="2"/>
  <c r="AG40" i="2"/>
  <c r="AD41" i="2"/>
  <c r="AH40" i="2"/>
  <c r="AB42" i="2"/>
  <c r="AF41" i="2"/>
  <c r="X39" i="2"/>
  <c r="Z39" i="2" s="1"/>
  <c r="D39" i="5"/>
  <c r="F40" i="5"/>
  <c r="E39" i="5"/>
  <c r="C40" i="5" s="1"/>
  <c r="D40" i="5" s="1"/>
  <c r="N41" i="2"/>
  <c r="O40" i="2"/>
  <c r="P40" i="2" l="1"/>
  <c r="Q40" i="2"/>
  <c r="S39" i="2"/>
  <c r="T39" i="2" s="1"/>
  <c r="AB43" i="2"/>
  <c r="AF42" i="2"/>
  <c r="AC42" i="2"/>
  <c r="AG41" i="2"/>
  <c r="AD42" i="2"/>
  <c r="AH41" i="2"/>
  <c r="AA42" i="2"/>
  <c r="AE41" i="2"/>
  <c r="X40" i="2"/>
  <c r="Z40" i="2" s="1"/>
  <c r="N42" i="2"/>
  <c r="O41" i="2"/>
  <c r="E40" i="5"/>
  <c r="P41" i="2" l="1"/>
  <c r="Q41" i="2"/>
  <c r="S40" i="2"/>
  <c r="T40" i="2" s="1"/>
  <c r="AA43" i="2"/>
  <c r="AE42" i="2"/>
  <c r="AC43" i="2"/>
  <c r="AG42" i="2"/>
  <c r="AD43" i="2"/>
  <c r="AH42" i="2"/>
  <c r="AB44" i="2"/>
  <c r="AF43" i="2"/>
  <c r="X41" i="2"/>
  <c r="Z41" i="2" s="1"/>
  <c r="N43" i="2"/>
  <c r="O42" i="2"/>
  <c r="P42" i="2" l="1"/>
  <c r="S41" i="2"/>
  <c r="T41" i="2" s="1"/>
  <c r="Q42" i="2"/>
  <c r="AC44" i="2"/>
  <c r="AG43" i="2"/>
  <c r="AB45" i="2"/>
  <c r="AF44" i="2"/>
  <c r="AD44" i="2"/>
  <c r="AH43" i="2"/>
  <c r="AA44" i="2"/>
  <c r="AE43" i="2"/>
  <c r="X42" i="2"/>
  <c r="Z42" i="2" s="1"/>
  <c r="N44" i="2"/>
  <c r="O43" i="2"/>
  <c r="P43" i="2" l="1"/>
  <c r="S42" i="2"/>
  <c r="T42" i="2" s="1"/>
  <c r="Q43" i="2"/>
  <c r="AA45" i="2"/>
  <c r="AE44" i="2"/>
  <c r="AB46" i="2"/>
  <c r="AF45" i="2"/>
  <c r="AD45" i="2"/>
  <c r="AH44" i="2"/>
  <c r="AC45" i="2"/>
  <c r="AG44" i="2"/>
  <c r="X43" i="2"/>
  <c r="Z43" i="2" s="1"/>
  <c r="N45" i="2"/>
  <c r="O44" i="2"/>
  <c r="P44" i="2" l="1"/>
  <c r="Q44" i="2"/>
  <c r="S43" i="2"/>
  <c r="T43" i="2" s="1"/>
  <c r="AC46" i="2"/>
  <c r="AG45" i="2"/>
  <c r="AB47" i="2"/>
  <c r="AF46" i="2"/>
  <c r="AD46" i="2"/>
  <c r="AH45" i="2"/>
  <c r="AA46" i="2"/>
  <c r="AE45" i="2"/>
  <c r="X44" i="2"/>
  <c r="Z44" i="2" s="1"/>
  <c r="N46" i="2"/>
  <c r="O45" i="2"/>
  <c r="P45" i="2" l="1"/>
  <c r="S44" i="2"/>
  <c r="T44" i="2" s="1"/>
  <c r="Q45" i="2"/>
  <c r="AD47" i="2"/>
  <c r="AH46" i="2"/>
  <c r="AA47" i="2"/>
  <c r="AE46" i="2"/>
  <c r="AB48" i="2"/>
  <c r="AF47" i="2"/>
  <c r="AC47" i="2"/>
  <c r="AG46" i="2"/>
  <c r="X45" i="2"/>
  <c r="Z45" i="2" s="1"/>
  <c r="N47" i="2"/>
  <c r="O46" i="2"/>
  <c r="P46" i="2" l="1"/>
  <c r="S45" i="2"/>
  <c r="T45" i="2" s="1"/>
  <c r="Q46" i="2"/>
  <c r="AA48" i="2"/>
  <c r="AE47" i="2"/>
  <c r="AB49" i="2"/>
  <c r="AF48" i="2"/>
  <c r="AD48" i="2"/>
  <c r="AH47" i="2"/>
  <c r="AC48" i="2"/>
  <c r="AG47" i="2"/>
  <c r="X46" i="2"/>
  <c r="Z46" i="2" s="1"/>
  <c r="N48" i="2"/>
  <c r="O47" i="2"/>
  <c r="P47" i="2" l="1"/>
  <c r="S46" i="2"/>
  <c r="T46" i="2" s="1"/>
  <c r="Q47" i="2"/>
  <c r="AC49" i="2"/>
  <c r="AG48" i="2"/>
  <c r="AD49" i="2"/>
  <c r="AH48" i="2"/>
  <c r="AA49" i="2"/>
  <c r="AE48" i="2"/>
  <c r="AB50" i="2"/>
  <c r="AF49" i="2"/>
  <c r="X47" i="2"/>
  <c r="Z47" i="2" s="1"/>
  <c r="N49" i="2"/>
  <c r="O48" i="2"/>
  <c r="P48" i="2" l="1"/>
  <c r="S47" i="2"/>
  <c r="T47" i="2" s="1"/>
  <c r="Q48" i="2"/>
  <c r="AB51" i="2"/>
  <c r="AF50" i="2"/>
  <c r="AD50" i="2"/>
  <c r="AH49" i="2"/>
  <c r="AA50" i="2"/>
  <c r="AE49" i="2"/>
  <c r="AC50" i="2"/>
  <c r="AG49" i="2"/>
  <c r="X48" i="2"/>
  <c r="Z48" i="2" s="1"/>
  <c r="N50" i="2"/>
  <c r="O49" i="2"/>
  <c r="P49" i="2" l="1"/>
  <c r="S48" i="2"/>
  <c r="T48" i="2" s="1"/>
  <c r="Q49" i="2"/>
  <c r="AC51" i="2"/>
  <c r="AG50" i="2"/>
  <c r="AD51" i="2"/>
  <c r="AH50" i="2"/>
  <c r="AA51" i="2"/>
  <c r="AE50" i="2"/>
  <c r="AB52" i="2"/>
  <c r="AF51" i="2"/>
  <c r="X49" i="2"/>
  <c r="Z49" i="2" s="1"/>
  <c r="N51" i="2"/>
  <c r="O50" i="2"/>
  <c r="P50" i="2" l="1"/>
  <c r="S49" i="2"/>
  <c r="T49" i="2" s="1"/>
  <c r="Q50" i="2"/>
  <c r="AA52" i="2"/>
  <c r="AE51" i="2"/>
  <c r="AD52" i="2"/>
  <c r="AH51" i="2"/>
  <c r="AB53" i="2"/>
  <c r="AF52" i="2"/>
  <c r="AC52" i="2"/>
  <c r="AG51" i="2"/>
  <c r="X50" i="2"/>
  <c r="Z50" i="2" s="1"/>
  <c r="N52" i="2"/>
  <c r="O51" i="2"/>
  <c r="P51" i="2" l="1"/>
  <c r="S50" i="2"/>
  <c r="T50" i="2" s="1"/>
  <c r="Q51" i="2"/>
  <c r="AC53" i="2"/>
  <c r="AG52" i="2"/>
  <c r="AD53" i="2"/>
  <c r="AH52" i="2"/>
  <c r="AB54" i="2"/>
  <c r="AF53" i="2"/>
  <c r="AA53" i="2"/>
  <c r="AE52" i="2"/>
  <c r="X51" i="2"/>
  <c r="Z51" i="2" s="1"/>
  <c r="N53" i="2"/>
  <c r="O52" i="2"/>
  <c r="P52" i="2" l="1"/>
  <c r="S51" i="2"/>
  <c r="T51" i="2" s="1"/>
  <c r="Q52" i="2"/>
  <c r="AD54" i="2"/>
  <c r="AH53" i="2"/>
  <c r="AA54" i="2"/>
  <c r="AE53" i="2"/>
  <c r="AB55" i="2"/>
  <c r="AF54" i="2"/>
  <c r="AC54" i="2"/>
  <c r="AG53" i="2"/>
  <c r="X52" i="2"/>
  <c r="Z52" i="2" s="1"/>
  <c r="N54" i="2"/>
  <c r="O53" i="2"/>
  <c r="P53" i="2" l="1"/>
  <c r="S52" i="2"/>
  <c r="T52" i="2" s="1"/>
  <c r="Q53" i="2"/>
  <c r="AC55" i="2"/>
  <c r="AG54" i="2"/>
  <c r="AA55" i="2"/>
  <c r="AE54" i="2"/>
  <c r="AB56" i="2"/>
  <c r="AF55" i="2"/>
  <c r="AD55" i="2"/>
  <c r="AH54" i="2"/>
  <c r="X53" i="2"/>
  <c r="Z53" i="2" s="1"/>
  <c r="N55" i="2"/>
  <c r="O54" i="2"/>
  <c r="P54" i="2" l="1"/>
  <c r="S53" i="2"/>
  <c r="T53" i="2" s="1"/>
  <c r="Q54" i="2"/>
  <c r="AB57" i="2"/>
  <c r="AF56" i="2"/>
  <c r="AA56" i="2"/>
  <c r="AE55" i="2"/>
  <c r="AC56" i="2"/>
  <c r="AG55" i="2"/>
  <c r="AD56" i="2"/>
  <c r="AH55" i="2"/>
  <c r="X54" i="2"/>
  <c r="Z54" i="2" s="1"/>
  <c r="N56" i="2"/>
  <c r="O55" i="2"/>
  <c r="P55" i="2" l="1"/>
  <c r="S54" i="2"/>
  <c r="T54" i="2" s="1"/>
  <c r="Q55" i="2"/>
  <c r="AD57" i="2"/>
  <c r="AH56" i="2"/>
  <c r="AA57" i="2"/>
  <c r="AE56" i="2"/>
  <c r="AC57" i="2"/>
  <c r="AG56" i="2"/>
  <c r="AB58" i="2"/>
  <c r="AF57" i="2"/>
  <c r="X55" i="2"/>
  <c r="Z55" i="2" s="1"/>
  <c r="N57" i="2"/>
  <c r="O56" i="2"/>
  <c r="P56" i="2" l="1"/>
  <c r="S55" i="2"/>
  <c r="T55" i="2" s="1"/>
  <c r="Q56" i="2"/>
  <c r="AC58" i="2"/>
  <c r="AG57" i="2"/>
  <c r="AB59" i="2"/>
  <c r="AF58" i="2"/>
  <c r="AA58" i="2"/>
  <c r="AE57" i="2"/>
  <c r="AD58" i="2"/>
  <c r="AH57" i="2"/>
  <c r="X56" i="2"/>
  <c r="Z56" i="2" s="1"/>
  <c r="N58" i="2"/>
  <c r="O57" i="2"/>
  <c r="P57" i="2" l="1"/>
  <c r="S56" i="2"/>
  <c r="T56" i="2" s="1"/>
  <c r="Q57" i="2"/>
  <c r="AD59" i="2"/>
  <c r="AH58" i="2"/>
  <c r="AB60" i="2"/>
  <c r="AF59" i="2"/>
  <c r="AA59" i="2"/>
  <c r="AE58" i="2"/>
  <c r="AC59" i="2"/>
  <c r="AG58" i="2"/>
  <c r="X57" i="2"/>
  <c r="Z57" i="2" s="1"/>
  <c r="N59" i="2"/>
  <c r="O58" i="2"/>
  <c r="P58" i="2" l="1"/>
  <c r="S57" i="2"/>
  <c r="T57" i="2" s="1"/>
  <c r="Q58" i="2"/>
  <c r="AB61" i="2"/>
  <c r="AF60" i="2"/>
  <c r="AD60" i="2"/>
  <c r="AH59" i="2"/>
  <c r="AA60" i="2"/>
  <c r="AE59" i="2"/>
  <c r="AC60" i="2"/>
  <c r="AG59" i="2"/>
  <c r="X58" i="2"/>
  <c r="Z58" i="2" s="1"/>
  <c r="N60" i="2"/>
  <c r="O59" i="2"/>
  <c r="P59" i="2" l="1"/>
  <c r="S58" i="2"/>
  <c r="T58" i="2" s="1"/>
  <c r="Q59" i="2"/>
  <c r="AA61" i="2"/>
  <c r="AE60" i="2"/>
  <c r="AB62" i="2"/>
  <c r="AF61" i="2"/>
  <c r="AC61" i="2"/>
  <c r="AG60" i="2"/>
  <c r="AD61" i="2"/>
  <c r="AH60" i="2"/>
  <c r="X59" i="2"/>
  <c r="Z59" i="2" s="1"/>
  <c r="N61" i="2"/>
  <c r="O60" i="2"/>
  <c r="P60" i="2" l="1"/>
  <c r="S59" i="2"/>
  <c r="T59" i="2" s="1"/>
  <c r="Q60" i="2"/>
  <c r="AD62" i="2"/>
  <c r="AH61" i="2"/>
  <c r="AB63" i="2"/>
  <c r="AF62" i="2"/>
  <c r="AC62" i="2"/>
  <c r="AG61" i="2"/>
  <c r="AA62" i="2"/>
  <c r="AE61" i="2"/>
  <c r="X60" i="2"/>
  <c r="Z60" i="2" s="1"/>
  <c r="O61" i="2"/>
  <c r="N62" i="2"/>
  <c r="P61" i="2" l="1"/>
  <c r="S60" i="2"/>
  <c r="T60" i="2" s="1"/>
  <c r="Q61" i="2"/>
  <c r="AB64" i="2"/>
  <c r="AF63" i="2"/>
  <c r="AA63" i="2"/>
  <c r="AE62" i="2"/>
  <c r="AC63" i="2"/>
  <c r="AG62" i="2"/>
  <c r="AD63" i="2"/>
  <c r="AH62" i="2"/>
  <c r="X61" i="2"/>
  <c r="Z61" i="2" s="1"/>
  <c r="O62" i="2"/>
  <c r="N63" i="2"/>
  <c r="P62" i="2" l="1"/>
  <c r="S61" i="2"/>
  <c r="T61" i="2" s="1"/>
  <c r="Q62" i="2"/>
  <c r="AC64" i="2"/>
  <c r="AG63" i="2"/>
  <c r="AB65" i="2"/>
  <c r="AF64" i="2"/>
  <c r="AD64" i="2"/>
  <c r="AH63" i="2"/>
  <c r="AA64" i="2"/>
  <c r="AE63" i="2"/>
  <c r="X62" i="2"/>
  <c r="Z62" i="2" s="1"/>
  <c r="O63" i="2"/>
  <c r="N64" i="2"/>
  <c r="P63" i="2" l="1"/>
  <c r="S62" i="2"/>
  <c r="T62" i="2" s="1"/>
  <c r="Q63" i="2"/>
  <c r="AA65" i="2"/>
  <c r="AE64" i="2"/>
  <c r="AB66" i="2"/>
  <c r="AF65" i="2"/>
  <c r="AD65" i="2"/>
  <c r="AH64" i="2"/>
  <c r="AC65" i="2"/>
  <c r="AG64" i="2"/>
  <c r="X63" i="2"/>
  <c r="Z63" i="2" s="1"/>
  <c r="O64" i="2"/>
  <c r="N65" i="2"/>
  <c r="P64" i="2" l="1"/>
  <c r="S63" i="2"/>
  <c r="T63" i="2" s="1"/>
  <c r="Q64" i="2"/>
  <c r="AC66" i="2"/>
  <c r="AG65" i="2"/>
  <c r="AB67" i="2"/>
  <c r="AF66" i="2"/>
  <c r="AD66" i="2"/>
  <c r="AH65" i="2"/>
  <c r="AA66" i="2"/>
  <c r="AE65" i="2"/>
  <c r="X64" i="2"/>
  <c r="Z64" i="2" s="1"/>
  <c r="O65" i="2"/>
  <c r="N66" i="2"/>
  <c r="P65" i="2" l="1"/>
  <c r="S64" i="2"/>
  <c r="T64" i="2" s="1"/>
  <c r="Q65" i="2"/>
  <c r="AA67" i="2"/>
  <c r="AE66" i="2"/>
  <c r="AB68" i="2"/>
  <c r="AF67" i="2"/>
  <c r="AD67" i="2"/>
  <c r="AH66" i="2"/>
  <c r="AC67" i="2"/>
  <c r="AG66" i="2"/>
  <c r="X65" i="2"/>
  <c r="Z65" i="2" s="1"/>
  <c r="O66" i="2"/>
  <c r="N67" i="2"/>
  <c r="P66" i="2" l="1"/>
  <c r="S65" i="2"/>
  <c r="T65" i="2" s="1"/>
  <c r="Q66" i="2"/>
  <c r="AB69" i="2"/>
  <c r="AF68" i="2"/>
  <c r="AC68" i="2"/>
  <c r="AG67" i="2"/>
  <c r="AD68" i="2"/>
  <c r="AH67" i="2"/>
  <c r="AA68" i="2"/>
  <c r="AE67" i="2"/>
  <c r="X66" i="2"/>
  <c r="Z66" i="2" s="1"/>
  <c r="O67" i="2"/>
  <c r="N68" i="2"/>
  <c r="P67" i="2" l="1"/>
  <c r="S66" i="2"/>
  <c r="T66" i="2" s="1"/>
  <c r="Q67" i="2"/>
  <c r="AA69" i="2"/>
  <c r="AE68" i="2"/>
  <c r="AC69" i="2"/>
  <c r="AG68" i="2"/>
  <c r="AD69" i="2"/>
  <c r="AH68" i="2"/>
  <c r="AB70" i="2"/>
  <c r="AF69" i="2"/>
  <c r="X67" i="2"/>
  <c r="Z67" i="2" s="1"/>
  <c r="O68" i="2"/>
  <c r="N69" i="2"/>
  <c r="P68" i="2" l="1"/>
  <c r="Q68" i="2"/>
  <c r="S67" i="2"/>
  <c r="T67" i="2" s="1"/>
  <c r="AB71" i="2"/>
  <c r="AF70" i="2"/>
  <c r="AC70" i="2"/>
  <c r="AG69" i="2"/>
  <c r="AD70" i="2"/>
  <c r="AH69" i="2"/>
  <c r="AA70" i="2"/>
  <c r="AE69" i="2"/>
  <c r="X68" i="2"/>
  <c r="Z68" i="2" s="1"/>
  <c r="O69" i="2"/>
  <c r="N70" i="2"/>
  <c r="P69" i="2" l="1"/>
  <c r="S68" i="2"/>
  <c r="T68" i="2" s="1"/>
  <c r="Q69" i="2"/>
  <c r="AC71" i="2"/>
  <c r="AG70" i="2"/>
  <c r="AA71" i="2"/>
  <c r="AE70" i="2"/>
  <c r="AD71" i="2"/>
  <c r="AH70" i="2"/>
  <c r="AB72" i="2"/>
  <c r="AF71" i="2"/>
  <c r="X69" i="2"/>
  <c r="Z69" i="2" s="1"/>
  <c r="O70" i="2"/>
  <c r="N71" i="2"/>
  <c r="P70" i="2" l="1"/>
  <c r="S69" i="2"/>
  <c r="T69" i="2" s="1"/>
  <c r="Q70" i="2"/>
  <c r="AD72" i="2"/>
  <c r="AH71" i="2"/>
  <c r="AA72" i="2"/>
  <c r="AE71" i="2"/>
  <c r="AB73" i="2"/>
  <c r="AF72" i="2"/>
  <c r="AC72" i="2"/>
  <c r="AG71" i="2"/>
  <c r="X70" i="2"/>
  <c r="Z70" i="2" s="1"/>
  <c r="O71" i="2"/>
  <c r="N72" i="2"/>
  <c r="P71" i="2" l="1"/>
  <c r="S70" i="2"/>
  <c r="T70" i="2" s="1"/>
  <c r="Q71" i="2"/>
  <c r="AC73" i="2"/>
  <c r="AG72" i="2"/>
  <c r="AA73" i="2"/>
  <c r="AE72" i="2"/>
  <c r="AB74" i="2"/>
  <c r="AF73" i="2"/>
  <c r="AD73" i="2"/>
  <c r="AH72" i="2"/>
  <c r="X71" i="2"/>
  <c r="Z71" i="2" s="1"/>
  <c r="O72" i="2"/>
  <c r="N73" i="2"/>
  <c r="P72" i="2" l="1"/>
  <c r="S71" i="2"/>
  <c r="T71" i="2" s="1"/>
  <c r="Q72" i="2"/>
  <c r="AD74" i="2"/>
  <c r="AH73" i="2"/>
  <c r="AA74" i="2"/>
  <c r="AE73" i="2"/>
  <c r="AB75" i="2"/>
  <c r="AF74" i="2"/>
  <c r="AC74" i="2"/>
  <c r="AG73" i="2"/>
  <c r="X72" i="2"/>
  <c r="Z72" i="2" s="1"/>
  <c r="O73" i="2"/>
  <c r="N74" i="2"/>
  <c r="P73" i="2" l="1"/>
  <c r="S72" i="2"/>
  <c r="T72" i="2" s="1"/>
  <c r="Q73" i="2"/>
  <c r="AC75" i="2"/>
  <c r="AG74" i="2"/>
  <c r="AA75" i="2"/>
  <c r="AE74" i="2"/>
  <c r="AD75" i="2"/>
  <c r="AH74" i="2"/>
  <c r="AB76" i="2"/>
  <c r="AF75" i="2"/>
  <c r="X73" i="2"/>
  <c r="Z73" i="2" s="1"/>
  <c r="O74" i="2"/>
  <c r="N75" i="2"/>
  <c r="P74" i="2" l="1"/>
  <c r="Q74" i="2"/>
  <c r="S73" i="2"/>
  <c r="T73" i="2" s="1"/>
  <c r="AB77" i="2"/>
  <c r="AF76" i="2"/>
  <c r="AA76" i="2"/>
  <c r="AE75" i="2"/>
  <c r="AC76" i="2"/>
  <c r="AG75" i="2"/>
  <c r="AD76" i="2"/>
  <c r="AH75" i="2"/>
  <c r="X74" i="2"/>
  <c r="Z74" i="2" s="1"/>
  <c r="O75" i="2"/>
  <c r="N76" i="2"/>
  <c r="P75" i="2" l="1"/>
  <c r="Q75" i="2"/>
  <c r="S74" i="2"/>
  <c r="T74" i="2" s="1"/>
  <c r="AD77" i="2"/>
  <c r="AH76" i="2"/>
  <c r="AA77" i="2"/>
  <c r="AE76" i="2"/>
  <c r="AC77" i="2"/>
  <c r="AG76" i="2"/>
  <c r="AB78" i="2"/>
  <c r="AF77" i="2"/>
  <c r="X75" i="2"/>
  <c r="Z75" i="2" s="1"/>
  <c r="O76" i="2"/>
  <c r="N77" i="2"/>
  <c r="P76" i="2" l="1"/>
  <c r="S75" i="2"/>
  <c r="T75" i="2" s="1"/>
  <c r="Q76" i="2"/>
  <c r="AB79" i="2"/>
  <c r="AF78" i="2"/>
  <c r="AA78" i="2"/>
  <c r="AE77" i="2"/>
  <c r="AC78" i="2"/>
  <c r="AG77" i="2"/>
  <c r="AD78" i="2"/>
  <c r="AH77" i="2"/>
  <c r="X76" i="2"/>
  <c r="Z76" i="2" s="1"/>
  <c r="O77" i="2"/>
  <c r="N78" i="2"/>
  <c r="P77" i="2" l="1"/>
  <c r="S76" i="2"/>
  <c r="T76" i="2" s="1"/>
  <c r="Q77" i="2"/>
  <c r="AD79" i="2"/>
  <c r="AH78" i="2"/>
  <c r="AA79" i="2"/>
  <c r="AE78" i="2"/>
  <c r="AC79" i="2"/>
  <c r="AG78" i="2"/>
  <c r="AB80" i="2"/>
  <c r="AF79" i="2"/>
  <c r="X77" i="2"/>
  <c r="Z77" i="2" s="1"/>
  <c r="O78" i="2"/>
  <c r="N79" i="2"/>
  <c r="P78" i="2" l="1"/>
  <c r="S77" i="2"/>
  <c r="T77" i="2" s="1"/>
  <c r="Q78" i="2"/>
  <c r="AC80" i="2"/>
  <c r="AG79" i="2"/>
  <c r="AA80" i="2"/>
  <c r="AE79" i="2"/>
  <c r="AB81" i="2"/>
  <c r="AB82" i="2" s="1"/>
  <c r="AF80" i="2"/>
  <c r="AD80" i="2"/>
  <c r="AH79" i="2"/>
  <c r="X78" i="2"/>
  <c r="Z78" i="2" s="1"/>
  <c r="O79" i="2"/>
  <c r="N80" i="2"/>
  <c r="P79" i="2" l="1"/>
  <c r="AF82" i="2"/>
  <c r="AB83" i="2"/>
  <c r="AF83" i="2" s="1"/>
  <c r="S78" i="2"/>
  <c r="T78" i="2" s="1"/>
  <c r="Q79" i="2"/>
  <c r="AA81" i="2"/>
  <c r="AA82" i="2" s="1"/>
  <c r="AE80" i="2"/>
  <c r="AD81" i="2"/>
  <c r="AD82" i="2" s="1"/>
  <c r="AH80" i="2"/>
  <c r="AF81" i="2"/>
  <c r="AC81" i="2"/>
  <c r="AC82" i="2" s="1"/>
  <c r="AG80" i="2"/>
  <c r="X79" i="2"/>
  <c r="Z79" i="2" s="1"/>
  <c r="O80" i="2"/>
  <c r="N81" i="2"/>
  <c r="N82" i="2" s="1"/>
  <c r="P80" i="2" l="1"/>
  <c r="AD83" i="2"/>
  <c r="AH83" i="2" s="1"/>
  <c r="AH82" i="2"/>
  <c r="AC83" i="2"/>
  <c r="AG83" i="2" s="1"/>
  <c r="AG82" i="2"/>
  <c r="O82" i="2"/>
  <c r="N83" i="2"/>
  <c r="O83" i="2" s="1"/>
  <c r="AE82" i="2"/>
  <c r="AA83" i="2"/>
  <c r="AE83" i="2" s="1"/>
  <c r="S79" i="2"/>
  <c r="T79" i="2" s="1"/>
  <c r="Q80" i="2"/>
  <c r="AH81" i="2"/>
  <c r="AG81" i="2"/>
  <c r="AE81" i="2"/>
  <c r="X80" i="2"/>
  <c r="Z80" i="2" s="1"/>
  <c r="O81" i="2"/>
  <c r="P81" i="2" l="1"/>
  <c r="Q83" i="2"/>
  <c r="X83" i="2"/>
  <c r="P83" i="2"/>
  <c r="Q82" i="2"/>
  <c r="X82" i="2"/>
  <c r="P82" i="2"/>
  <c r="S82" i="2" s="1"/>
  <c r="S80" i="2"/>
  <c r="T80" i="2" s="1"/>
  <c r="Q81" i="2"/>
  <c r="X81" i="2"/>
  <c r="Z81" i="2" s="1"/>
  <c r="Z82" i="2" s="1"/>
  <c r="Z83" i="2" s="1"/>
  <c r="S83" i="2" l="1"/>
  <c r="S81" i="2"/>
  <c r="T81" i="2" s="1"/>
  <c r="T82" i="2" s="1"/>
  <c r="T83" i="2" l="1"/>
  <c r="Y5" i="2"/>
  <c r="V6" i="2" s="1"/>
  <c r="W4" i="2" l="1"/>
  <c r="U4" i="2" s="1"/>
  <c r="J37" i="2" s="1"/>
  <c r="Y6" i="2"/>
  <c r="V7" i="2" l="1"/>
  <c r="W6" i="2" s="1"/>
  <c r="U6" i="2" s="1"/>
  <c r="W5" i="2"/>
  <c r="U5" i="2" s="1"/>
  <c r="K37" i="2"/>
  <c r="Y7" i="2" l="1"/>
  <c r="V8" i="2" s="1"/>
  <c r="Y8" i="2" l="1"/>
  <c r="V9" i="2" s="1"/>
  <c r="W7" i="2"/>
  <c r="U7" i="2" s="1"/>
  <c r="Y9" i="2" l="1"/>
  <c r="V10" i="2" s="1"/>
  <c r="W8" i="2"/>
  <c r="U8" i="2" s="1"/>
  <c r="J38" i="2" s="1"/>
  <c r="K38" i="2" l="1"/>
  <c r="Y10" i="2"/>
  <c r="V11" i="2" s="1"/>
  <c r="W9" i="2"/>
  <c r="U9" i="2" s="1"/>
  <c r="Y11" i="2" l="1"/>
  <c r="V12" i="2" s="1"/>
  <c r="W10" i="2"/>
  <c r="U10" i="2" s="1"/>
  <c r="Y12" i="2" l="1"/>
  <c r="V13" i="2" s="1"/>
  <c r="W11" i="2"/>
  <c r="U11" i="2" s="1"/>
  <c r="Y13" i="2" l="1"/>
  <c r="V14" i="2" s="1"/>
  <c r="W12" i="2"/>
  <c r="U12" i="2" s="1"/>
  <c r="Y14" i="2" l="1"/>
  <c r="V15" i="2" s="1"/>
  <c r="W13" i="2"/>
  <c r="U13" i="2" s="1"/>
  <c r="J39" i="2" s="1"/>
  <c r="K39" i="2" l="1"/>
  <c r="Y15" i="2"/>
  <c r="V16" i="2" s="1"/>
  <c r="W15" i="2" s="1"/>
  <c r="U15" i="2" s="1"/>
  <c r="W14" i="2"/>
  <c r="U14" i="2" s="1"/>
  <c r="Y16" i="2" l="1"/>
  <c r="V17" i="2" s="1"/>
  <c r="Y17" i="2" l="1"/>
  <c r="V18" i="2" s="1"/>
  <c r="W16" i="2"/>
  <c r="U16" i="2" s="1"/>
  <c r="Y18" i="2" l="1"/>
  <c r="V19" i="2" s="1"/>
  <c r="W17" i="2"/>
  <c r="U17" i="2" s="1"/>
  <c r="Y19" i="2" l="1"/>
  <c r="V20" i="2" s="1"/>
  <c r="W18" i="2"/>
  <c r="U18" i="2" s="1"/>
  <c r="J40" i="2" s="1"/>
  <c r="Y20" i="2" l="1"/>
  <c r="V21" i="2" s="1"/>
  <c r="W19" i="2"/>
  <c r="U19" i="2" s="1"/>
  <c r="K40" i="2"/>
  <c r="Y21" i="2" l="1"/>
  <c r="V22" i="2" s="1"/>
  <c r="W21" i="2" s="1"/>
  <c r="U21" i="2" s="1"/>
  <c r="W20" i="2"/>
  <c r="U20" i="2" s="1"/>
  <c r="Y22" i="2" l="1"/>
  <c r="V23" i="2" s="1"/>
  <c r="Y23" i="2" l="1"/>
  <c r="V24" i="2" s="1"/>
  <c r="W22" i="2"/>
  <c r="U22" i="2" s="1"/>
  <c r="Y24" i="2" l="1"/>
  <c r="V25" i="2" s="1"/>
  <c r="W23" i="2"/>
  <c r="U23" i="2" s="1"/>
  <c r="J41" i="2" s="1"/>
  <c r="K41" i="2" l="1"/>
  <c r="Y25" i="2"/>
  <c r="V26" i="2" s="1"/>
  <c r="W24" i="2"/>
  <c r="U24" i="2" s="1"/>
  <c r="Y26" i="2" l="1"/>
  <c r="V27" i="2" s="1"/>
  <c r="W25" i="2"/>
  <c r="U25" i="2" s="1"/>
  <c r="Y27" i="2" l="1"/>
  <c r="V28" i="2" s="1"/>
  <c r="W26" i="2"/>
  <c r="U26" i="2" s="1"/>
  <c r="Y28" i="2" l="1"/>
  <c r="V29" i="2" s="1"/>
  <c r="W27" i="2"/>
  <c r="U27" i="2" s="1"/>
  <c r="Y29" i="2" l="1"/>
  <c r="V30" i="2" s="1"/>
  <c r="W28" i="2"/>
  <c r="U28" i="2" s="1"/>
  <c r="J42" i="2" s="1"/>
  <c r="Y30" i="2" l="1"/>
  <c r="V31" i="2" s="1"/>
  <c r="W30" i="2" s="1"/>
  <c r="U30" i="2" s="1"/>
  <c r="W29" i="2"/>
  <c r="U29" i="2" s="1"/>
  <c r="K42" i="2"/>
  <c r="Y31" i="2" l="1"/>
  <c r="V32" i="2" s="1"/>
  <c r="Y32" i="2" l="1"/>
  <c r="V33" i="2" s="1"/>
  <c r="W31" i="2"/>
  <c r="U31" i="2" s="1"/>
  <c r="Y33" i="2" l="1"/>
  <c r="V34" i="2" s="1"/>
  <c r="W32" i="2"/>
  <c r="U32" i="2" s="1"/>
  <c r="W33" i="2" l="1"/>
  <c r="U33" i="2" s="1"/>
  <c r="J43" i="2" s="1"/>
  <c r="Y34" i="2"/>
  <c r="V35" i="2" s="1"/>
  <c r="W34" i="2" l="1"/>
  <c r="U34" i="2" s="1"/>
  <c r="K43" i="2"/>
  <c r="Y35" i="2"/>
  <c r="W35" i="2" s="1"/>
  <c r="U35" i="2" s="1"/>
  <c r="V36" i="2" l="1"/>
  <c r="Y36" i="2" l="1"/>
  <c r="W36" i="2" s="1"/>
  <c r="U36" i="2" s="1"/>
  <c r="B37" i="2" s="1"/>
  <c r="V37" i="2" l="1"/>
  <c r="Y37" i="2" l="1"/>
  <c r="V38" i="2" s="1"/>
  <c r="Y38" i="2" l="1"/>
  <c r="V39" i="2" s="1"/>
  <c r="W37" i="2"/>
  <c r="U37" i="2" s="1"/>
  <c r="W38" i="2" l="1"/>
  <c r="U38" i="2" s="1"/>
  <c r="J44" i="2" s="1"/>
  <c r="Y39" i="2"/>
  <c r="V40" i="2" s="1"/>
  <c r="K44" i="2" l="1"/>
  <c r="W39" i="2"/>
  <c r="U39" i="2" s="1"/>
  <c r="Y40" i="2"/>
  <c r="V41" i="2" s="1"/>
  <c r="W40" i="2" l="1"/>
  <c r="U40" i="2" s="1"/>
  <c r="Y41" i="2"/>
  <c r="V42" i="2" s="1"/>
  <c r="W41" i="2" l="1"/>
  <c r="U41" i="2" s="1"/>
  <c r="Y42" i="2"/>
  <c r="V43" i="2" s="1"/>
  <c r="W42" i="2" l="1"/>
  <c r="U42" i="2" s="1"/>
  <c r="Y43" i="2"/>
  <c r="V44" i="2" s="1"/>
  <c r="W43" i="2" l="1"/>
  <c r="U43" i="2" s="1"/>
  <c r="J45" i="2" s="1"/>
  <c r="Y44" i="2"/>
  <c r="V45" i="2" s="1"/>
  <c r="K45" i="2" l="1"/>
  <c r="Y45" i="2"/>
  <c r="V46" i="2" s="1"/>
  <c r="W44" i="2"/>
  <c r="U44" i="2" s="1"/>
  <c r="Y46" i="2" l="1"/>
  <c r="W46" i="2" s="1"/>
  <c r="U46" i="2" s="1"/>
  <c r="W45" i="2"/>
  <c r="U45" i="2" s="1"/>
  <c r="F37" i="2" l="1"/>
  <c r="V47" i="2"/>
  <c r="Y47" i="2" s="1"/>
  <c r="V48" i="2" l="1"/>
  <c r="Y48" i="2" s="1"/>
  <c r="W47" i="2"/>
  <c r="U47" i="2" s="1"/>
  <c r="V49" i="2" l="1"/>
  <c r="W48" i="2"/>
  <c r="U48" i="2" s="1"/>
  <c r="J46" i="2" s="1"/>
  <c r="K46" i="2" l="1"/>
  <c r="Y49" i="2"/>
  <c r="V50" i="2" s="1"/>
  <c r="W49" i="2" l="1"/>
  <c r="U49" i="2" s="1"/>
  <c r="Y50" i="2" l="1"/>
  <c r="V51" i="2" s="1"/>
  <c r="W50" i="2" l="1"/>
  <c r="U50" i="2" s="1"/>
  <c r="Y51" i="2"/>
  <c r="V52" i="2" s="1"/>
  <c r="W51" i="2" l="1"/>
  <c r="U51" i="2" s="1"/>
  <c r="F38" i="2" s="1"/>
  <c r="Y52" i="2" l="1"/>
  <c r="V53" i="2" s="1"/>
  <c r="W52" i="2" l="1"/>
  <c r="U52" i="2" s="1"/>
  <c r="Y53" i="2" l="1"/>
  <c r="V54" i="2" s="1"/>
  <c r="Y54" i="2" l="1"/>
  <c r="V55" i="2" s="1"/>
  <c r="Y55" i="2" l="1"/>
  <c r="V56" i="2" s="1"/>
  <c r="W54" i="2"/>
  <c r="U54" i="2" s="1"/>
  <c r="W53" i="2"/>
  <c r="U53" i="2" s="1"/>
  <c r="J47" i="2" s="1"/>
  <c r="Y56" i="2" l="1"/>
  <c r="V57" i="2" s="1"/>
  <c r="K47" i="2"/>
  <c r="W56" i="2" l="1"/>
  <c r="U56" i="2" s="1"/>
  <c r="F39" i="2" s="1"/>
  <c r="Y57" i="2"/>
  <c r="V58" i="2" s="1"/>
  <c r="W55" i="2"/>
  <c r="U55" i="2" s="1"/>
  <c r="W57" i="2" l="1"/>
  <c r="U57" i="2" s="1"/>
  <c r="Y58" i="2"/>
  <c r="V59" i="2" s="1"/>
  <c r="W58" i="2" l="1"/>
  <c r="U58" i="2" s="1"/>
  <c r="J48" i="2" s="1"/>
  <c r="K48" i="2" s="1"/>
  <c r="Y59" i="2"/>
  <c r="V60" i="2" s="1"/>
  <c r="W59" i="2" l="1"/>
  <c r="U59" i="2" s="1"/>
  <c r="Y60" i="2"/>
  <c r="V61" i="2" s="1"/>
  <c r="W60" i="2" l="1"/>
  <c r="U60" i="2" s="1"/>
  <c r="Y61" i="2"/>
  <c r="V62" i="2" s="1"/>
  <c r="W61" i="2" l="1"/>
  <c r="U61" i="2" s="1"/>
  <c r="F40" i="2" s="1"/>
  <c r="Y62" i="2" l="1"/>
  <c r="V63" i="2" s="1"/>
  <c r="W62" i="2" l="1"/>
  <c r="U62" i="2" s="1"/>
  <c r="Y63" i="2"/>
  <c r="V64" i="2" s="1"/>
  <c r="W63" i="2" l="1"/>
  <c r="U63" i="2" s="1"/>
  <c r="J49" i="2" s="1"/>
  <c r="K49" i="2" s="1"/>
  <c r="Y64" i="2"/>
  <c r="V65" i="2" s="1"/>
  <c r="W64" i="2" l="1"/>
  <c r="U64" i="2" s="1"/>
  <c r="Y65" i="2"/>
  <c r="V66" i="2" s="1"/>
  <c r="W65" i="2" l="1"/>
  <c r="U65" i="2" s="1"/>
  <c r="Y66" i="2" l="1"/>
  <c r="V67" i="2" s="1"/>
  <c r="W66" i="2" l="1"/>
  <c r="U66" i="2" s="1"/>
  <c r="F41" i="2" s="1"/>
  <c r="Y67" i="2" l="1"/>
  <c r="V68" i="2" s="1"/>
  <c r="Y68" i="2" l="1"/>
  <c r="V69" i="2" s="1"/>
  <c r="W67" i="2"/>
  <c r="U67" i="2" s="1"/>
  <c r="W68" i="2" l="1"/>
  <c r="U68" i="2" s="1"/>
  <c r="J50" i="2" s="1"/>
  <c r="K50" i="2" s="1"/>
  <c r="Y69" i="2" l="1"/>
  <c r="V70" i="2" s="1"/>
  <c r="Y70" i="2" l="1"/>
  <c r="V71" i="2" s="1"/>
  <c r="W70" i="2" l="1"/>
  <c r="U70" i="2" s="1"/>
  <c r="Y71" i="2"/>
  <c r="V72" i="2" s="1"/>
  <c r="W69" i="2"/>
  <c r="U69" i="2" s="1"/>
  <c r="W71" i="2" l="1"/>
  <c r="U71" i="2" s="1"/>
  <c r="F42" i="2" s="1"/>
  <c r="Y72" i="2" l="1"/>
  <c r="V73" i="2" s="1"/>
  <c r="Y73" i="2" l="1"/>
  <c r="V74" i="2" s="1"/>
  <c r="Y74" i="2" l="1"/>
  <c r="V75" i="2" s="1"/>
  <c r="W72" i="2"/>
  <c r="U72" i="2" s="1"/>
  <c r="Y75" i="2" l="1"/>
  <c r="V76" i="2" s="1"/>
  <c r="W74" i="2"/>
  <c r="U74" i="2" s="1"/>
  <c r="W73" i="2"/>
  <c r="U73" i="2" s="1"/>
  <c r="J51" i="2" s="1"/>
  <c r="K51" i="2" s="1"/>
  <c r="Y76" i="2" l="1"/>
  <c r="V77" i="2" s="1"/>
  <c r="W76" i="2" l="1"/>
  <c r="U76" i="2" s="1"/>
  <c r="F43" i="2" s="1"/>
  <c r="Y77" i="2"/>
  <c r="V78" i="2" s="1"/>
  <c r="W75" i="2"/>
  <c r="U75" i="2" s="1"/>
  <c r="W77" i="2" l="1"/>
  <c r="U77" i="2" s="1"/>
  <c r="Y78" i="2" l="1"/>
  <c r="V79" i="2" s="1"/>
  <c r="W78" i="2" l="1"/>
  <c r="U78" i="2" s="1"/>
  <c r="Y79" i="2"/>
  <c r="V80" i="2" s="1"/>
  <c r="W79" i="2" l="1"/>
  <c r="U79" i="2" s="1"/>
  <c r="Y80" i="2"/>
  <c r="V81" i="2" s="1"/>
  <c r="W80" i="2" l="1"/>
  <c r="U80" i="2" s="1"/>
  <c r="Y81" i="2" l="1"/>
  <c r="V82" i="2" s="1"/>
  <c r="Y82" i="2" l="1"/>
  <c r="V83" i="2" s="1"/>
  <c r="W81" i="2"/>
  <c r="U81" i="2" s="1"/>
  <c r="W82" i="2" l="1"/>
  <c r="U82" i="2" s="1"/>
  <c r="Y83" i="2"/>
  <c r="W83" i="2" s="1"/>
  <c r="U83" i="2" s="1"/>
</calcChain>
</file>

<file path=xl/sharedStrings.xml><?xml version="1.0" encoding="utf-8"?>
<sst xmlns="http://schemas.openxmlformats.org/spreadsheetml/2006/main" count="204" uniqueCount="137">
  <si>
    <t>初期投資額</t>
  </si>
  <si>
    <t>月間積立額</t>
  </si>
  <si>
    <t>利回り目標</t>
  </si>
  <si>
    <t>現在の年齢</t>
  </si>
  <si>
    <t>年</t>
  </si>
  <si>
    <t>初期投資倍率</t>
  </si>
  <si>
    <t>年齢</t>
  </si>
  <si>
    <t>到達年齢</t>
  </si>
  <si>
    <t>利息</t>
  </si>
  <si>
    <t>投資額累計</t>
  </si>
  <si>
    <t>借入金</t>
  </si>
  <si>
    <t>返済年数</t>
  </si>
  <si>
    <t>利率</t>
  </si>
  <si>
    <t>借入年度</t>
  </si>
  <si>
    <t>生まれた年</t>
  </si>
  <si>
    <t>残高</t>
  </si>
  <si>
    <t>元本</t>
  </si>
  <si>
    <t>返済額</t>
  </si>
  <si>
    <t>築年数</t>
  </si>
  <si>
    <t>子供１年齢</t>
    <rPh sb="0" eb="2">
      <t xml:space="preserve">コドモ </t>
    </rPh>
    <phoneticPr fontId="5"/>
  </si>
  <si>
    <t>子供２年齢</t>
    <rPh sb="0" eb="2">
      <t xml:space="preserve">コドモ </t>
    </rPh>
    <phoneticPr fontId="5"/>
  </si>
  <si>
    <t>項目</t>
    <rPh sb="0" eb="2">
      <t xml:space="preserve">コウモク </t>
    </rPh>
    <phoneticPr fontId="5"/>
  </si>
  <si>
    <t>金額</t>
    <rPh sb="0" eb="2">
      <t xml:space="preserve">キンガク </t>
    </rPh>
    <phoneticPr fontId="5"/>
  </si>
  <si>
    <t>働き始めた年齢</t>
    <rPh sb="0" eb="1">
      <t xml:space="preserve">ハタラキハジメタネンレイ </t>
    </rPh>
    <phoneticPr fontId="5"/>
  </si>
  <si>
    <t>年金受取開始年齢</t>
    <rPh sb="0" eb="2">
      <t xml:space="preserve">ネンキン </t>
    </rPh>
    <rPh sb="2" eb="4">
      <t xml:space="preserve">ウケトリ </t>
    </rPh>
    <rPh sb="4" eb="6">
      <t xml:space="preserve">カイシ </t>
    </rPh>
    <rPh sb="6" eb="8">
      <t xml:space="preserve">ネンレイ </t>
    </rPh>
    <phoneticPr fontId="5"/>
  </si>
  <si>
    <t>職業</t>
    <rPh sb="0" eb="2">
      <t xml:space="preserve">ショクギョウ </t>
    </rPh>
    <phoneticPr fontId="5"/>
  </si>
  <si>
    <t>配偶者</t>
    <rPh sb="0" eb="3">
      <t xml:space="preserve">ハイグウシャ </t>
    </rPh>
    <phoneticPr fontId="5"/>
  </si>
  <si>
    <t>平均年収</t>
    <rPh sb="0" eb="4">
      <t xml:space="preserve">ヘイキンネンシュウ </t>
    </rPh>
    <phoneticPr fontId="5"/>
  </si>
  <si>
    <t>生活費</t>
    <rPh sb="0" eb="3">
      <t xml:space="preserve">セイカツヒ </t>
    </rPh>
    <phoneticPr fontId="5"/>
  </si>
  <si>
    <t>食費</t>
    <rPh sb="0" eb="2">
      <t xml:space="preserve">ショクヒ </t>
    </rPh>
    <phoneticPr fontId="5"/>
  </si>
  <si>
    <t>住居</t>
    <rPh sb="0" eb="2">
      <t xml:space="preserve">ジュウキョ </t>
    </rPh>
    <phoneticPr fontId="5"/>
  </si>
  <si>
    <t>住居費支払い完了年齢</t>
    <rPh sb="0" eb="3">
      <t xml:space="preserve">ジュウキョヒ </t>
    </rPh>
    <rPh sb="3" eb="5">
      <t xml:space="preserve">シハライ </t>
    </rPh>
    <rPh sb="6" eb="8">
      <t xml:space="preserve">カンリョウ </t>
    </rPh>
    <rPh sb="8" eb="10">
      <t xml:space="preserve">ネンレイ </t>
    </rPh>
    <phoneticPr fontId="5"/>
  </si>
  <si>
    <t>ローン</t>
  </si>
  <si>
    <t>ローン</t>
    <phoneticPr fontId="5"/>
  </si>
  <si>
    <t>賃貸</t>
    <rPh sb="0" eb="2">
      <t xml:space="preserve">チンタイ </t>
    </rPh>
    <phoneticPr fontId="5"/>
  </si>
  <si>
    <t>水道光熱費</t>
    <rPh sb="0" eb="5">
      <t xml:space="preserve">スイドウコウネツヒ </t>
    </rPh>
    <phoneticPr fontId="5"/>
  </si>
  <si>
    <t>衣料・消耗品</t>
    <rPh sb="0" eb="2">
      <t xml:space="preserve">イリョウ </t>
    </rPh>
    <rPh sb="3" eb="6">
      <t xml:space="preserve">ショウモウヒン </t>
    </rPh>
    <phoneticPr fontId="5"/>
  </si>
  <si>
    <t>医療費</t>
    <rPh sb="0" eb="3">
      <t xml:space="preserve">イリョウヒ </t>
    </rPh>
    <phoneticPr fontId="5"/>
  </si>
  <si>
    <t>交通・通信</t>
    <rPh sb="0" eb="2">
      <t xml:space="preserve">コウツウ </t>
    </rPh>
    <rPh sb="3" eb="5">
      <t xml:space="preserve">ツウシン </t>
    </rPh>
    <phoneticPr fontId="5"/>
  </si>
  <si>
    <t>娯楽・その他</t>
    <rPh sb="0" eb="2">
      <t xml:space="preserve">ゴラク </t>
    </rPh>
    <phoneticPr fontId="5"/>
  </si>
  <si>
    <t>引退後、年金受給前の収支</t>
    <rPh sb="0" eb="3">
      <t xml:space="preserve">インタイゴ </t>
    </rPh>
    <rPh sb="4" eb="8">
      <t xml:space="preserve">ネンキンジュキュウマ </t>
    </rPh>
    <rPh sb="8" eb="9">
      <t xml:space="preserve">マエ </t>
    </rPh>
    <rPh sb="10" eb="12">
      <t xml:space="preserve">シュウシ </t>
    </rPh>
    <phoneticPr fontId="5"/>
  </si>
  <si>
    <t>年金受給開始後の収支</t>
    <rPh sb="0" eb="4">
      <t xml:space="preserve">ネンキンジュキュウ </t>
    </rPh>
    <rPh sb="4" eb="7">
      <t xml:space="preserve">カイシゴ </t>
    </rPh>
    <rPh sb="8" eb="10">
      <t xml:space="preserve">シュウシ </t>
    </rPh>
    <phoneticPr fontId="5"/>
  </si>
  <si>
    <t>引退時点での貯蓄・資産額</t>
    <rPh sb="0" eb="3">
      <t xml:space="preserve">インタイジｔネｎ </t>
    </rPh>
    <rPh sb="3" eb="4">
      <t xml:space="preserve">テン </t>
    </rPh>
    <rPh sb="6" eb="8">
      <t xml:space="preserve">チョチク </t>
    </rPh>
    <rPh sb="9" eb="11">
      <t xml:space="preserve">シサン </t>
    </rPh>
    <rPh sb="11" eb="12">
      <t xml:space="preserve">ガク </t>
    </rPh>
    <phoneticPr fontId="5"/>
  </si>
  <si>
    <t>85歳</t>
    <phoneticPr fontId="5"/>
  </si>
  <si>
    <t>90歳</t>
    <phoneticPr fontId="5"/>
  </si>
  <si>
    <t>95歳</t>
    <phoneticPr fontId="5"/>
  </si>
  <si>
    <t>100歳</t>
    <rPh sb="3" eb="4">
      <t xml:space="preserve">サイ </t>
    </rPh>
    <phoneticPr fontId="5"/>
  </si>
  <si>
    <t>105歳</t>
    <phoneticPr fontId="5"/>
  </si>
  <si>
    <t>80歳</t>
    <rPh sb="2" eb="3">
      <t xml:space="preserve">サイ </t>
    </rPh>
    <phoneticPr fontId="5"/>
  </si>
  <si>
    <t>引退予定の年齢</t>
    <rPh sb="0" eb="2">
      <t xml:space="preserve">インタイ </t>
    </rPh>
    <rPh sb="2" eb="4">
      <t xml:space="preserve">タイショクヨテイ </t>
    </rPh>
    <phoneticPr fontId="5"/>
  </si>
  <si>
    <t>引退後の貯蓄・資産額計算</t>
    <rPh sb="0" eb="3">
      <t xml:space="preserve">インタイゴ </t>
    </rPh>
    <rPh sb="4" eb="6">
      <t xml:space="preserve">チョチク </t>
    </rPh>
    <rPh sb="7" eb="10">
      <t xml:space="preserve">シサンガク </t>
    </rPh>
    <rPh sb="10" eb="12">
      <t xml:space="preserve">ケイサン </t>
    </rPh>
    <phoneticPr fontId="5"/>
  </si>
  <si>
    <t>引退後の利回り</t>
    <rPh sb="0" eb="2">
      <t xml:space="preserve">インタイゴノ </t>
    </rPh>
    <rPh sb="4" eb="6">
      <t xml:space="preserve">リマワリ </t>
    </rPh>
    <phoneticPr fontId="5"/>
  </si>
  <si>
    <t>ライフイベント</t>
    <phoneticPr fontId="5"/>
  </si>
  <si>
    <t>会社員</t>
    <rPh sb="0" eb="3">
      <t xml:space="preserve">カイシャイン </t>
    </rPh>
    <phoneticPr fontId="5"/>
  </si>
  <si>
    <t>自営業</t>
    <rPh sb="0" eb="3">
      <t xml:space="preserve">ジエイギョウ </t>
    </rPh>
    <phoneticPr fontId="5"/>
  </si>
  <si>
    <t>あり</t>
  </si>
  <si>
    <t>あり</t>
    <phoneticPr fontId="5"/>
  </si>
  <si>
    <t>なし、共働き</t>
    <rPh sb="3" eb="5">
      <t xml:space="preserve">トモバタラキ </t>
    </rPh>
    <phoneticPr fontId="5"/>
  </si>
  <si>
    <t>引退時点の年金以外の年間収入</t>
    <rPh sb="0" eb="2">
      <t xml:space="preserve">インタイ </t>
    </rPh>
    <rPh sb="2" eb="4">
      <t xml:space="preserve">ジテン </t>
    </rPh>
    <rPh sb="5" eb="9">
      <t xml:space="preserve">ネンキンイガイノ </t>
    </rPh>
    <rPh sb="10" eb="12">
      <t xml:space="preserve">ネンカン </t>
    </rPh>
    <rPh sb="12" eb="14">
      <t xml:space="preserve">シュウニュウ </t>
    </rPh>
    <phoneticPr fontId="5"/>
  </si>
  <si>
    <t>歳のとき</t>
    <rPh sb="0" eb="2">
      <t xml:space="preserve">ジブンガ </t>
    </rPh>
    <rPh sb="3" eb="4">
      <t xml:space="preserve">サイ </t>
    </rPh>
    <phoneticPr fontId="5"/>
  </si>
  <si>
    <t>子供３年齢</t>
    <rPh sb="0" eb="2">
      <t xml:space="preserve">コドモ </t>
    </rPh>
    <phoneticPr fontId="5"/>
  </si>
  <si>
    <t>生活防衛資金</t>
    <rPh sb="0" eb="6">
      <t xml:space="preserve">セイカツボウエイシキン </t>
    </rPh>
    <phoneticPr fontId="5"/>
  </si>
  <si>
    <t>子供の結婚　子供が</t>
    <rPh sb="0" eb="2">
      <t xml:space="preserve">コドモ </t>
    </rPh>
    <rPh sb="3" eb="5">
      <t xml:space="preserve">ケッコン </t>
    </rPh>
    <rPh sb="6" eb="8">
      <t xml:space="preserve">コドモガ </t>
    </rPh>
    <phoneticPr fontId="5"/>
  </si>
  <si>
    <t>円</t>
    <rPh sb="0" eb="1">
      <t xml:space="preserve">エン </t>
    </rPh>
    <phoneticPr fontId="5"/>
  </si>
  <si>
    <t>子供の結婚式の負担</t>
    <rPh sb="0" eb="2">
      <t xml:space="preserve">コドモ </t>
    </rPh>
    <rPh sb="2" eb="3">
      <t xml:space="preserve">ノケッコン </t>
    </rPh>
    <rPh sb="5" eb="6">
      <t xml:space="preserve">シキ </t>
    </rPh>
    <phoneticPr fontId="5"/>
  </si>
  <si>
    <t>子供４年齢</t>
    <rPh sb="0" eb="2">
      <t xml:space="preserve">コドモ </t>
    </rPh>
    <phoneticPr fontId="5"/>
  </si>
  <si>
    <t>1人目</t>
    <rPh sb="2" eb="3">
      <t xml:space="preserve">メ </t>
    </rPh>
    <phoneticPr fontId="5"/>
  </si>
  <si>
    <t>2人目</t>
    <phoneticPr fontId="5"/>
  </si>
  <si>
    <t>3人目</t>
    <rPh sb="2" eb="3">
      <t xml:space="preserve">メ </t>
    </rPh>
    <phoneticPr fontId="5"/>
  </si>
  <si>
    <t>4人目</t>
    <phoneticPr fontId="5"/>
  </si>
  <si>
    <t>幼稚園</t>
    <rPh sb="0" eb="3">
      <t xml:space="preserve">ヨウチエン </t>
    </rPh>
    <phoneticPr fontId="5"/>
  </si>
  <si>
    <t>小学校</t>
    <rPh sb="0" eb="3">
      <t xml:space="preserve">ショウガッコウ </t>
    </rPh>
    <phoneticPr fontId="5"/>
  </si>
  <si>
    <t>中学校</t>
    <rPh sb="0" eb="3">
      <t xml:space="preserve">チュウガッコウ </t>
    </rPh>
    <phoneticPr fontId="5"/>
  </si>
  <si>
    <t>高校</t>
    <rPh sb="0" eb="2">
      <t xml:space="preserve">コウコウ </t>
    </rPh>
    <phoneticPr fontId="5"/>
  </si>
  <si>
    <t>大学</t>
    <rPh sb="0" eb="2">
      <t xml:space="preserve">ダイガク </t>
    </rPh>
    <phoneticPr fontId="5"/>
  </si>
  <si>
    <t>大学院</t>
    <rPh sb="0" eb="3">
      <t xml:space="preserve">ダイガクイン </t>
    </rPh>
    <phoneticPr fontId="5"/>
  </si>
  <si>
    <t>私立</t>
    <rPh sb="0" eb="2">
      <t xml:space="preserve">シリツ </t>
    </rPh>
    <phoneticPr fontId="5"/>
  </si>
  <si>
    <t>公立</t>
    <rPh sb="0" eb="2">
      <t xml:space="preserve">コウリツヨウチエン </t>
    </rPh>
    <phoneticPr fontId="5"/>
  </si>
  <si>
    <t>私立文系</t>
    <rPh sb="0" eb="2">
      <t xml:space="preserve">シリツ </t>
    </rPh>
    <rPh sb="2" eb="4">
      <t xml:space="preserve">ブンケイ </t>
    </rPh>
    <phoneticPr fontId="5"/>
  </si>
  <si>
    <t>私立理系</t>
    <rPh sb="0" eb="1">
      <t xml:space="preserve">シリツ </t>
    </rPh>
    <rPh sb="2" eb="4">
      <t xml:space="preserve">リケイ </t>
    </rPh>
    <phoneticPr fontId="5"/>
  </si>
  <si>
    <t>国公立</t>
    <rPh sb="0" eb="3">
      <t xml:space="preserve">コッコウリツ </t>
    </rPh>
    <phoneticPr fontId="5"/>
  </si>
  <si>
    <t>幼稚園・保育園</t>
    <rPh sb="0" eb="3">
      <t xml:space="preserve">ヨウチエン </t>
    </rPh>
    <rPh sb="4" eb="7">
      <t xml:space="preserve">ホイクエン </t>
    </rPh>
    <phoneticPr fontId="5"/>
  </si>
  <si>
    <t>種類</t>
    <rPh sb="0" eb="2">
      <t xml:space="preserve">シュルイ </t>
    </rPh>
    <phoneticPr fontId="5"/>
  </si>
  <si>
    <t>学費</t>
    <rPh sb="0" eb="2">
      <t xml:space="preserve">ガクヒ </t>
    </rPh>
    <phoneticPr fontId="5"/>
  </si>
  <si>
    <t>公立</t>
    <rPh sb="0" eb="2">
      <t xml:space="preserve">コウリツ </t>
    </rPh>
    <phoneticPr fontId="5"/>
  </si>
  <si>
    <t>計</t>
    <rPh sb="0" eb="1">
      <t xml:space="preserve">ケイ </t>
    </rPh>
    <phoneticPr fontId="5"/>
  </si>
  <si>
    <t>子供1人目誕生　自分が</t>
    <rPh sb="0" eb="2">
      <t xml:space="preserve">コドモ </t>
    </rPh>
    <rPh sb="5" eb="7">
      <t xml:space="preserve">タンジョウ </t>
    </rPh>
    <phoneticPr fontId="5"/>
  </si>
  <si>
    <t>子供2人目誕生　自分が</t>
    <rPh sb="0" eb="2">
      <t xml:space="preserve">コドモ </t>
    </rPh>
    <rPh sb="5" eb="7">
      <t xml:space="preserve">タンジョウ </t>
    </rPh>
    <phoneticPr fontId="5"/>
  </si>
  <si>
    <t>子供3人目誕生　自分が</t>
    <rPh sb="0" eb="2">
      <t xml:space="preserve">コドモ </t>
    </rPh>
    <rPh sb="5" eb="7">
      <t xml:space="preserve">タンジョウ </t>
    </rPh>
    <phoneticPr fontId="5"/>
  </si>
  <si>
    <t>子供4人目誕生　自分が</t>
    <rPh sb="0" eb="2">
      <t xml:space="preserve">コドモ </t>
    </rPh>
    <rPh sb="5" eb="7">
      <t xml:space="preserve">タンジョウ </t>
    </rPh>
    <phoneticPr fontId="5"/>
  </si>
  <si>
    <t>基礎年金（月額）</t>
    <rPh sb="0" eb="4">
      <t xml:space="preserve">キソネンキン </t>
    </rPh>
    <rPh sb="5" eb="7">
      <t xml:space="preserve">ゲツガク </t>
    </rPh>
    <phoneticPr fontId="5"/>
  </si>
  <si>
    <t>厚生年金（月額）</t>
    <rPh sb="0" eb="4">
      <t xml:space="preserve">コウセイネンキｎ </t>
    </rPh>
    <rPh sb="5" eb="7">
      <t xml:space="preserve">ゲツガク </t>
    </rPh>
    <phoneticPr fontId="5"/>
  </si>
  <si>
    <t>年金合計（月額）</t>
    <rPh sb="0" eb="1">
      <t xml:space="preserve">ネンキンゴウケイ </t>
    </rPh>
    <rPh sb="5" eb="7">
      <t xml:space="preserve">ゲツガク </t>
    </rPh>
    <phoneticPr fontId="5"/>
  </si>
  <si>
    <t>2003年以前に働いた年数</t>
    <rPh sb="4" eb="5">
      <t xml:space="preserve">ネン </t>
    </rPh>
    <rPh sb="5" eb="7">
      <t xml:space="preserve">イゼン </t>
    </rPh>
    <rPh sb="8" eb="9">
      <t xml:space="preserve">ハタライタ </t>
    </rPh>
    <rPh sb="11" eb="13">
      <t xml:space="preserve">ネンスウ </t>
    </rPh>
    <phoneticPr fontId="5"/>
  </si>
  <si>
    <t>2003年以降に働く年数</t>
    <rPh sb="4" eb="5">
      <t xml:space="preserve">ネンイコウ </t>
    </rPh>
    <phoneticPr fontId="5"/>
  </si>
  <si>
    <t>基礎年金40年間加入の満額</t>
    <rPh sb="0" eb="4">
      <t xml:space="preserve">キソネンキｎ </t>
    </rPh>
    <rPh sb="6" eb="7">
      <t xml:space="preserve">ネン </t>
    </rPh>
    <rPh sb="7" eb="8">
      <t xml:space="preserve">カン </t>
    </rPh>
    <rPh sb="8" eb="10">
      <t xml:space="preserve">カニュウ </t>
    </rPh>
    <rPh sb="11" eb="13">
      <t xml:space="preserve">マンガク </t>
    </rPh>
    <phoneticPr fontId="5"/>
  </si>
  <si>
    <t>ライフイベント支出</t>
    <rPh sb="7" eb="9">
      <t xml:space="preserve">シシュツ </t>
    </rPh>
    <phoneticPr fontId="5"/>
  </si>
  <si>
    <t>子供の教育費</t>
    <rPh sb="0" eb="2">
      <t xml:space="preserve">コドモノガクヒ </t>
    </rPh>
    <rPh sb="3" eb="6">
      <t xml:space="preserve">キョウイクヒ </t>
    </rPh>
    <phoneticPr fontId="5"/>
  </si>
  <si>
    <t>年額</t>
    <rPh sb="0" eb="2">
      <t xml:space="preserve">ネンガク </t>
    </rPh>
    <phoneticPr fontId="5"/>
  </si>
  <si>
    <t>塾・習い事/年額</t>
    <rPh sb="0" eb="1">
      <t xml:space="preserve">ジュク </t>
    </rPh>
    <rPh sb="2" eb="3">
      <t xml:space="preserve">ナライゴト </t>
    </rPh>
    <rPh sb="6" eb="7">
      <t xml:space="preserve">ネン </t>
    </rPh>
    <rPh sb="7" eb="8">
      <t xml:space="preserve">ガク </t>
    </rPh>
    <phoneticPr fontId="5"/>
  </si>
  <si>
    <t>学費（トータル）</t>
    <rPh sb="0" eb="2">
      <t xml:space="preserve">ガクヒ </t>
    </rPh>
    <phoneticPr fontId="5"/>
  </si>
  <si>
    <t>子供１コスト</t>
    <rPh sb="0" eb="2">
      <t xml:space="preserve">コドモ </t>
    </rPh>
    <phoneticPr fontId="5"/>
  </si>
  <si>
    <t>子供２コスト</t>
    <rPh sb="0" eb="2">
      <t xml:space="preserve">コドモ </t>
    </rPh>
    <phoneticPr fontId="5"/>
  </si>
  <si>
    <t>子供３コスト</t>
    <rPh sb="0" eb="2">
      <t xml:space="preserve">コドモ </t>
    </rPh>
    <phoneticPr fontId="5"/>
  </si>
  <si>
    <t>子供４コスト</t>
    <rPh sb="0" eb="2">
      <t xml:space="preserve">コドモ </t>
    </rPh>
    <phoneticPr fontId="5"/>
  </si>
  <si>
    <t>結婚資金</t>
    <rPh sb="0" eb="2">
      <t xml:space="preserve">ケッコン </t>
    </rPh>
    <rPh sb="2" eb="4">
      <t xml:space="preserve">シキン </t>
    </rPh>
    <phoneticPr fontId="5"/>
  </si>
  <si>
    <t>結婚する（した）年齢</t>
    <rPh sb="0" eb="1">
      <t xml:space="preserve">ケッコンネンレイ </t>
    </rPh>
    <phoneticPr fontId="5"/>
  </si>
  <si>
    <t>住居費（ローン返済額・賃料）</t>
    <rPh sb="0" eb="3">
      <t xml:space="preserve">ジュウキョヒ </t>
    </rPh>
    <rPh sb="7" eb="9">
      <t xml:space="preserve">ヘンサイ </t>
    </rPh>
    <rPh sb="9" eb="10">
      <t xml:space="preserve">ガク </t>
    </rPh>
    <rPh sb="11" eb="13">
      <t xml:space="preserve">チンリョウ </t>
    </rPh>
    <phoneticPr fontId="5"/>
  </si>
  <si>
    <t>年積立額</t>
    <rPh sb="1" eb="3">
      <t xml:space="preserve">ツミタテ </t>
    </rPh>
    <phoneticPr fontId="5"/>
  </si>
  <si>
    <t>運用利回り</t>
    <rPh sb="0" eb="2">
      <t xml:space="preserve">ウンヨウ </t>
    </rPh>
    <rPh sb="2" eb="4">
      <t xml:space="preserve">リマワリ </t>
    </rPh>
    <phoneticPr fontId="5"/>
  </si>
  <si>
    <t>所得</t>
    <rPh sb="0" eb="2">
      <t xml:space="preserve">ショトク </t>
    </rPh>
    <phoneticPr fontId="5"/>
  </si>
  <si>
    <t>引退後月額</t>
    <rPh sb="0" eb="3">
      <t xml:space="preserve">インタイゴ </t>
    </rPh>
    <rPh sb="3" eb="5">
      <t xml:space="preserve">ゲツガク </t>
    </rPh>
    <phoneticPr fontId="5"/>
  </si>
  <si>
    <t>現役時月額</t>
    <rPh sb="0" eb="2">
      <t xml:space="preserve">ゲンエキ </t>
    </rPh>
    <rPh sb="2" eb="3">
      <t xml:space="preserve">ジ </t>
    </rPh>
    <rPh sb="3" eb="5">
      <t xml:space="preserve">ゲツガク </t>
    </rPh>
    <phoneticPr fontId="5"/>
  </si>
  <si>
    <t>収支</t>
    <rPh sb="0" eb="2">
      <t xml:space="preserve">シュウシ </t>
    </rPh>
    <phoneticPr fontId="5"/>
  </si>
  <si>
    <t>現預金</t>
    <rPh sb="0" eb="3">
      <t xml:space="preserve">ゲンヨキン </t>
    </rPh>
    <phoneticPr fontId="5"/>
  </si>
  <si>
    <t>総資産額</t>
    <rPh sb="0" eb="3">
      <t xml:space="preserve">ソウシサン </t>
    </rPh>
    <rPh sb="3" eb="4">
      <t xml:space="preserve">ガク </t>
    </rPh>
    <phoneticPr fontId="5"/>
  </si>
  <si>
    <t>積立投資</t>
    <rPh sb="0" eb="2">
      <t xml:space="preserve">ツミタテ </t>
    </rPh>
    <rPh sb="2" eb="4">
      <t xml:space="preserve">トウシ </t>
    </rPh>
    <phoneticPr fontId="5"/>
  </si>
  <si>
    <t>支出計</t>
    <rPh sb="0" eb="2">
      <t xml:space="preserve">シシュツ </t>
    </rPh>
    <rPh sb="2" eb="3">
      <t xml:space="preserve">ケイ </t>
    </rPh>
    <phoneticPr fontId="5"/>
  </si>
  <si>
    <t>支出</t>
    <rPh sb="0" eb="2">
      <t xml:space="preserve">シシュツ </t>
    </rPh>
    <phoneticPr fontId="5"/>
  </si>
  <si>
    <t>年初投資残高</t>
    <rPh sb="2" eb="4">
      <t xml:space="preserve">トウシ </t>
    </rPh>
    <phoneticPr fontId="5"/>
  </si>
  <si>
    <t>年末投資残高</t>
    <rPh sb="0" eb="2">
      <t xml:space="preserve">トウシ </t>
    </rPh>
    <phoneticPr fontId="5"/>
  </si>
  <si>
    <t>収入</t>
    <rPh sb="0" eb="2">
      <t xml:space="preserve">シュウニュウ </t>
    </rPh>
    <phoneticPr fontId="5"/>
  </si>
  <si>
    <t>ここは触らないこと</t>
    <rPh sb="3" eb="4">
      <t xml:space="preserve">サワラナイデ </t>
    </rPh>
    <phoneticPr fontId="5"/>
  </si>
  <si>
    <t>黄色のセルに入力</t>
    <rPh sb="0" eb="2">
      <t xml:space="preserve">キイロノ </t>
    </rPh>
    <rPh sb="6" eb="8">
      <t xml:space="preserve">ニュウリョク </t>
    </rPh>
    <phoneticPr fontId="5"/>
  </si>
  <si>
    <t>資産残高</t>
    <rPh sb="0" eb="4">
      <t xml:space="preserve">シサンザンダカ </t>
    </rPh>
    <phoneticPr fontId="5"/>
  </si>
  <si>
    <t>75歳</t>
    <rPh sb="0" eb="3">
      <t xml:space="preserve">ザンダカ </t>
    </rPh>
    <phoneticPr fontId="5"/>
  </si>
  <si>
    <t>年齢</t>
    <rPh sb="0" eb="2">
      <t xml:space="preserve">ネンレイ </t>
    </rPh>
    <phoneticPr fontId="5"/>
  </si>
  <si>
    <t>施工</t>
    <rPh sb="0" eb="2">
      <t xml:space="preserve">セコウ </t>
    </rPh>
    <phoneticPr fontId="5"/>
  </si>
  <si>
    <t>引退後の資産残高推移</t>
    <rPh sb="0" eb="3">
      <t xml:space="preserve">インタイゴノ </t>
    </rPh>
    <rPh sb="4" eb="8">
      <t xml:space="preserve">シサンザンダカ </t>
    </rPh>
    <rPh sb="8" eb="10">
      <t xml:space="preserve">スイイ </t>
    </rPh>
    <phoneticPr fontId="5"/>
  </si>
  <si>
    <t>年齢ごとの資産残高推移</t>
    <rPh sb="0" eb="2">
      <t xml:space="preserve">ネンレイ </t>
    </rPh>
    <rPh sb="5" eb="9">
      <t xml:space="preserve">シサンザンダカ </t>
    </rPh>
    <rPh sb="9" eb="11">
      <t xml:space="preserve">スイイ </t>
    </rPh>
    <phoneticPr fontId="5"/>
  </si>
  <si>
    <t>年数</t>
    <rPh sb="1" eb="2">
      <t xml:space="preserve">スウ </t>
    </rPh>
    <phoneticPr fontId="5"/>
  </si>
  <si>
    <t>by LapisLabo</t>
    <phoneticPr fontId="5"/>
  </si>
  <si>
    <t>簡易ライフプランシート</t>
    <rPh sb="0" eb="2">
      <t xml:space="preserve">カンイ </t>
    </rPh>
    <phoneticPr fontId="5"/>
  </si>
  <si>
    <t>住宅ローンの頭金</t>
    <rPh sb="0" eb="2">
      <t xml:space="preserve">ジュウタクローン </t>
    </rPh>
    <rPh sb="5" eb="6">
      <t>ノ</t>
    </rPh>
    <rPh sb="6" eb="8">
      <t xml:space="preserve">アタマキｎ </t>
    </rPh>
    <phoneticPr fontId="5"/>
  </si>
  <si>
    <t>住宅ローンの開始年齢</t>
    <rPh sb="0" eb="1">
      <t xml:space="preserve">ジュウタクローン </t>
    </rPh>
    <rPh sb="6" eb="8">
      <t xml:space="preserve">カイシ </t>
    </rPh>
    <rPh sb="8" eb="10">
      <t xml:space="preserve">ネンレイ </t>
    </rPh>
    <phoneticPr fontId="5"/>
  </si>
  <si>
    <t>お墓の金額</t>
    <phoneticPr fontId="5"/>
  </si>
  <si>
    <t>お墓を買うタイミング</t>
    <rPh sb="0" eb="1">
      <t xml:space="preserve">オハカ </t>
    </rPh>
    <rPh sb="3" eb="4">
      <t xml:space="preserve">カウタイミング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</si>
</sst>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7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FFFFFF"/>
      <name val="Arial"/>
      <family val="2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20"/>
      <color rgb="FF000000"/>
      <name val="メイリオ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4A86E8"/>
        <bgColor rgb="FF4A86E8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A4C2F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6D9EEB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6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center"/>
    </xf>
    <xf numFmtId="176" fontId="1" fillId="0" borderId="0" xfId="0" applyNumberFormat="1" applyFont="1" applyAlignment="1"/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/>
    <xf numFmtId="0" fontId="1" fillId="0" borderId="0" xfId="0" applyFont="1"/>
    <xf numFmtId="0" fontId="2" fillId="0" borderId="0" xfId="0" applyFont="1" applyFill="1" applyAlignment="1"/>
    <xf numFmtId="3" fontId="2" fillId="4" borderId="0" xfId="0" applyNumberFormat="1" applyFont="1" applyFill="1" applyAlignment="1">
      <alignment horizontal="right"/>
    </xf>
    <xf numFmtId="9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4" fillId="0" borderId="0" xfId="0" applyFont="1" applyAlignment="1"/>
    <xf numFmtId="0" fontId="2" fillId="6" borderId="0" xfId="0" applyFont="1" applyFill="1" applyAlignment="1">
      <alignment horizontal="center"/>
    </xf>
    <xf numFmtId="38" fontId="2" fillId="4" borderId="0" xfId="1" applyFont="1" applyFill="1" applyAlignment="1"/>
    <xf numFmtId="38" fontId="2" fillId="0" borderId="0" xfId="1" applyFont="1" applyFill="1" applyAlignment="1"/>
    <xf numFmtId="38" fontId="2" fillId="0" borderId="0" xfId="1" applyFont="1" applyAlignment="1"/>
    <xf numFmtId="0" fontId="4" fillId="5" borderId="0" xfId="0" applyFont="1" applyFill="1" applyAlignment="1">
      <alignment horizontal="center"/>
    </xf>
    <xf numFmtId="38" fontId="4" fillId="4" borderId="0" xfId="1" applyFont="1" applyFill="1" applyAlignment="1">
      <alignment horizontal="right"/>
    </xf>
    <xf numFmtId="0" fontId="0" fillId="4" borderId="0" xfId="0" applyFont="1" applyFill="1" applyAlignment="1"/>
    <xf numFmtId="38" fontId="0" fillId="0" borderId="0" xfId="1" applyFont="1" applyAlignment="1"/>
    <xf numFmtId="0" fontId="0" fillId="0" borderId="0" xfId="0" applyFont="1" applyAlignment="1">
      <alignment horizontal="center"/>
    </xf>
    <xf numFmtId="38" fontId="0" fillId="0" borderId="0" xfId="0" applyNumberFormat="1" applyFont="1" applyAlignment="1"/>
    <xf numFmtId="0" fontId="4" fillId="5" borderId="0" xfId="0" applyFont="1" applyFill="1" applyAlignment="1"/>
    <xf numFmtId="0" fontId="0" fillId="4" borderId="0" xfId="0" applyFont="1" applyFill="1" applyAlignment="1">
      <alignment horizontal="center"/>
    </xf>
    <xf numFmtId="38" fontId="0" fillId="4" borderId="0" xfId="1" applyFont="1" applyFill="1" applyAlignment="1"/>
    <xf numFmtId="0" fontId="2" fillId="0" borderId="0" xfId="0" applyFont="1" applyFill="1" applyAlignment="1">
      <alignment horizontal="right"/>
    </xf>
    <xf numFmtId="38" fontId="2" fillId="0" borderId="0" xfId="1" applyFont="1" applyFill="1" applyAlignment="1">
      <alignment horizontal="right"/>
    </xf>
    <xf numFmtId="38" fontId="4" fillId="4" borderId="0" xfId="1" applyFont="1" applyFill="1" applyAlignment="1"/>
    <xf numFmtId="3" fontId="2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4" fillId="0" borderId="4" xfId="0" applyFont="1" applyBorder="1" applyAlignment="1"/>
    <xf numFmtId="0" fontId="0" fillId="0" borderId="4" xfId="0" applyFont="1" applyBorder="1" applyAlignment="1"/>
    <xf numFmtId="0" fontId="2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2" fillId="0" borderId="7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2" fillId="7" borderId="1" xfId="0" applyFont="1" applyFill="1" applyBorder="1" applyAlignment="1">
      <alignment horizontal="center"/>
    </xf>
    <xf numFmtId="0" fontId="4" fillId="4" borderId="0" xfId="0" applyFont="1" applyFill="1" applyAlignment="1"/>
    <xf numFmtId="9" fontId="2" fillId="4" borderId="0" xfId="0" applyNumberFormat="1" applyFont="1" applyFill="1" applyAlignment="1"/>
    <xf numFmtId="38" fontId="1" fillId="0" borderId="0" xfId="1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4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8" borderId="0" xfId="0" applyFont="1" applyFill="1" applyAlignment="1"/>
  </cellXfs>
  <cellStyles count="2">
    <cellStyle name="桁区切り" xfId="1" builtinId="6"/>
    <cellStyle name="標準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現預金と総資産の推移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25116500361722"/>
          <c:y val="8.1322141048337168E-2"/>
          <c:w val="0.83900038097766094"/>
          <c:h val="0.82850673446361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'資産運用（積立投資信託）'!$T$3</c:f>
              <c:strCache>
                <c:ptCount val="1"/>
                <c:pt idx="0">
                  <c:v>現預金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'資産運用（積立投資信託）'!$O$4:$O$81</c:f>
              <c:numCache>
                <c:formatCode>#,##0</c:formatCode>
                <c:ptCount val="7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65</c:v>
                </c:pt>
                <c:pt idx="33">
                  <c:v>66</c:v>
                </c:pt>
                <c:pt idx="34">
                  <c:v>67</c:v>
                </c:pt>
                <c:pt idx="35">
                  <c:v>68</c:v>
                </c:pt>
                <c:pt idx="36">
                  <c:v>69</c:v>
                </c:pt>
                <c:pt idx="37">
                  <c:v>70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76</c:v>
                </c:pt>
                <c:pt idx="44">
                  <c:v>77</c:v>
                </c:pt>
                <c:pt idx="45">
                  <c:v>78</c:v>
                </c:pt>
                <c:pt idx="46">
                  <c:v>79</c:v>
                </c:pt>
                <c:pt idx="47">
                  <c:v>80</c:v>
                </c:pt>
                <c:pt idx="48">
                  <c:v>81</c:v>
                </c:pt>
                <c:pt idx="49">
                  <c:v>82</c:v>
                </c:pt>
                <c:pt idx="50">
                  <c:v>83</c:v>
                </c:pt>
                <c:pt idx="51">
                  <c:v>84</c:v>
                </c:pt>
                <c:pt idx="52">
                  <c:v>85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89</c:v>
                </c:pt>
                <c:pt idx="57">
                  <c:v>90</c:v>
                </c:pt>
                <c:pt idx="58">
                  <c:v>91</c:v>
                </c:pt>
                <c:pt idx="59">
                  <c:v>92</c:v>
                </c:pt>
                <c:pt idx="60">
                  <c:v>93</c:v>
                </c:pt>
                <c:pt idx="61">
                  <c:v>94</c:v>
                </c:pt>
                <c:pt idx="62">
                  <c:v>95</c:v>
                </c:pt>
                <c:pt idx="63">
                  <c:v>96</c:v>
                </c:pt>
                <c:pt idx="64">
                  <c:v>97</c:v>
                </c:pt>
                <c:pt idx="65">
                  <c:v>98</c:v>
                </c:pt>
                <c:pt idx="66">
                  <c:v>99</c:v>
                </c:pt>
                <c:pt idx="67">
                  <c:v>100</c:v>
                </c:pt>
                <c:pt idx="68">
                  <c:v>101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105</c:v>
                </c:pt>
                <c:pt idx="73">
                  <c:v>106</c:v>
                </c:pt>
                <c:pt idx="74">
                  <c:v>107</c:v>
                </c:pt>
                <c:pt idx="75">
                  <c:v>108</c:v>
                </c:pt>
                <c:pt idx="76">
                  <c:v>109</c:v>
                </c:pt>
                <c:pt idx="77">
                  <c:v>110</c:v>
                </c:pt>
              </c:numCache>
            </c:numRef>
          </c:cat>
          <c:val>
            <c:numRef>
              <c:f>'資産運用（積立投資信託）'!$T$4:$T$81</c:f>
              <c:numCache>
                <c:formatCode>#,##0</c:formatCode>
                <c:ptCount val="78"/>
                <c:pt idx="0">
                  <c:v>3404000</c:v>
                </c:pt>
                <c:pt idx="1">
                  <c:v>4174666.6666666665</c:v>
                </c:pt>
                <c:pt idx="2">
                  <c:v>1445333.333333333</c:v>
                </c:pt>
                <c:pt idx="3">
                  <c:v>2215999.9999999995</c:v>
                </c:pt>
                <c:pt idx="4">
                  <c:v>2969999.9999999995</c:v>
                </c:pt>
                <c:pt idx="5">
                  <c:v>3090666.666666666</c:v>
                </c:pt>
                <c:pt idx="6">
                  <c:v>3211333.3333333326</c:v>
                </c:pt>
                <c:pt idx="7">
                  <c:v>3331999.9999999991</c:v>
                </c:pt>
                <c:pt idx="8">
                  <c:v>3435999.9999999991</c:v>
                </c:pt>
                <c:pt idx="9">
                  <c:v>3539999.9999999991</c:v>
                </c:pt>
                <c:pt idx="10">
                  <c:v>3327333.3333333321</c:v>
                </c:pt>
                <c:pt idx="11">
                  <c:v>3114666.6666666651</c:v>
                </c:pt>
                <c:pt idx="12">
                  <c:v>2901999.9999999981</c:v>
                </c:pt>
                <c:pt idx="13">
                  <c:v>1755999.9999999981</c:v>
                </c:pt>
                <c:pt idx="14">
                  <c:v>293333.33333333116</c:v>
                </c:pt>
                <c:pt idx="15">
                  <c:v>-1169333.3333333358</c:v>
                </c:pt>
                <c:pt idx="16">
                  <c:v>-2082000.0000000028</c:v>
                </c:pt>
                <c:pt idx="17">
                  <c:v>-3928000.0000000028</c:v>
                </c:pt>
                <c:pt idx="18">
                  <c:v>-5774000.0000000028</c:v>
                </c:pt>
                <c:pt idx="19">
                  <c:v>-7620000.0000000028</c:v>
                </c:pt>
                <c:pt idx="20">
                  <c:v>-8541000.0000000037</c:v>
                </c:pt>
                <c:pt idx="21">
                  <c:v>-9462000.0000000037</c:v>
                </c:pt>
                <c:pt idx="22">
                  <c:v>-9033000.0000000037</c:v>
                </c:pt>
                <c:pt idx="23">
                  <c:v>-8604000.0000000037</c:v>
                </c:pt>
                <c:pt idx="24">
                  <c:v>-7200000.0000000037</c:v>
                </c:pt>
                <c:pt idx="25">
                  <c:v>-6296000.0000000037</c:v>
                </c:pt>
                <c:pt idx="26">
                  <c:v>-4892000.0000000037</c:v>
                </c:pt>
                <c:pt idx="27">
                  <c:v>-4988000.0000000037</c:v>
                </c:pt>
                <c:pt idx="28">
                  <c:v>-3584000.0000000037</c:v>
                </c:pt>
                <c:pt idx="29">
                  <c:v>-2680000.0000000037</c:v>
                </c:pt>
                <c:pt idx="30">
                  <c:v>-1276000.0000000037</c:v>
                </c:pt>
                <c:pt idx="31">
                  <c:v>127999.99999999627</c:v>
                </c:pt>
                <c:pt idx="32">
                  <c:v>-551493.28000000352</c:v>
                </c:pt>
                <c:pt idx="33">
                  <c:v>-835826.56000000332</c:v>
                </c:pt>
                <c:pt idx="34">
                  <c:v>-1120159.8400000031</c:v>
                </c:pt>
                <c:pt idx="35">
                  <c:v>-1404493.1200000029</c:v>
                </c:pt>
                <c:pt idx="36">
                  <c:v>-1688826.4000000027</c:v>
                </c:pt>
                <c:pt idx="37">
                  <c:v>-1973159.6800000025</c:v>
                </c:pt>
                <c:pt idx="38">
                  <c:v>-1057492.9600000023</c:v>
                </c:pt>
                <c:pt idx="39">
                  <c:v>-141826.24000000209</c:v>
                </c:pt>
                <c:pt idx="40">
                  <c:v>773840.47999999812</c:v>
                </c:pt>
                <c:pt idx="41">
                  <c:v>1689507.1999999983</c:v>
                </c:pt>
                <c:pt idx="42">
                  <c:v>2605173.9199999985</c:v>
                </c:pt>
                <c:pt idx="43">
                  <c:v>3520840.6399999987</c:v>
                </c:pt>
                <c:pt idx="44">
                  <c:v>4436507.3599999994</c:v>
                </c:pt>
                <c:pt idx="45">
                  <c:v>5352174.08</c:v>
                </c:pt>
                <c:pt idx="46">
                  <c:v>6267840.8000000007</c:v>
                </c:pt>
                <c:pt idx="47">
                  <c:v>7183507.5200000014</c:v>
                </c:pt>
                <c:pt idx="48">
                  <c:v>8099174.2400000021</c:v>
                </c:pt>
                <c:pt idx="49">
                  <c:v>9014840.9600000028</c:v>
                </c:pt>
                <c:pt idx="50">
                  <c:v>9930507.6800000034</c:v>
                </c:pt>
                <c:pt idx="51">
                  <c:v>10846174.400000004</c:v>
                </c:pt>
                <c:pt idx="52">
                  <c:v>11761841.120000005</c:v>
                </c:pt>
                <c:pt idx="53">
                  <c:v>12677507.840000005</c:v>
                </c:pt>
                <c:pt idx="54">
                  <c:v>13593174.560000006</c:v>
                </c:pt>
                <c:pt idx="55">
                  <c:v>14508841.280000007</c:v>
                </c:pt>
                <c:pt idx="56">
                  <c:v>15424508.000000007</c:v>
                </c:pt>
                <c:pt idx="57">
                  <c:v>16340174.720000008</c:v>
                </c:pt>
                <c:pt idx="58">
                  <c:v>17255841.440000009</c:v>
                </c:pt>
                <c:pt idx="59">
                  <c:v>18171508.160000008</c:v>
                </c:pt>
                <c:pt idx="60">
                  <c:v>19087174.880000006</c:v>
                </c:pt>
                <c:pt idx="61">
                  <c:v>20002841.600000005</c:v>
                </c:pt>
                <c:pt idx="62">
                  <c:v>20918508.320000004</c:v>
                </c:pt>
                <c:pt idx="63">
                  <c:v>21834175.040000003</c:v>
                </c:pt>
                <c:pt idx="64">
                  <c:v>22749841.760000002</c:v>
                </c:pt>
                <c:pt idx="65">
                  <c:v>23665508.48</c:v>
                </c:pt>
                <c:pt idx="66">
                  <c:v>24581175.199999999</c:v>
                </c:pt>
                <c:pt idx="67">
                  <c:v>25496841.919999998</c:v>
                </c:pt>
                <c:pt idx="68">
                  <c:v>26412508.639999997</c:v>
                </c:pt>
                <c:pt idx="69">
                  <c:v>27328175.359999996</c:v>
                </c:pt>
                <c:pt idx="70">
                  <c:v>28243842.079999994</c:v>
                </c:pt>
                <c:pt idx="71">
                  <c:v>29159508.799999993</c:v>
                </c:pt>
                <c:pt idx="72">
                  <c:v>30075175.519999992</c:v>
                </c:pt>
                <c:pt idx="73">
                  <c:v>30990842.239999991</c:v>
                </c:pt>
                <c:pt idx="74">
                  <c:v>31906508.95999999</c:v>
                </c:pt>
                <c:pt idx="75">
                  <c:v>32822175.679999989</c:v>
                </c:pt>
                <c:pt idx="76">
                  <c:v>33737842.399999991</c:v>
                </c:pt>
                <c:pt idx="77">
                  <c:v>34653509.11999999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0-D44D-9458-97440AA1D2E5}"/>
            </c:ext>
          </c:extLst>
        </c:ser>
        <c:ser>
          <c:idx val="8"/>
          <c:order val="1"/>
          <c:tx>
            <c:strRef>
              <c:f>'資産運用（積立投資信託）'!$U$3</c:f>
              <c:strCache>
                <c:ptCount val="1"/>
                <c:pt idx="0">
                  <c:v>総資産額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'資産運用（積立投資信託）'!$O$4:$O$81</c:f>
              <c:numCache>
                <c:formatCode>#,##0</c:formatCode>
                <c:ptCount val="78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65</c:v>
                </c:pt>
                <c:pt idx="33">
                  <c:v>66</c:v>
                </c:pt>
                <c:pt idx="34">
                  <c:v>67</c:v>
                </c:pt>
                <c:pt idx="35">
                  <c:v>68</c:v>
                </c:pt>
                <c:pt idx="36">
                  <c:v>69</c:v>
                </c:pt>
                <c:pt idx="37">
                  <c:v>70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76</c:v>
                </c:pt>
                <c:pt idx="44">
                  <c:v>77</c:v>
                </c:pt>
                <c:pt idx="45">
                  <c:v>78</c:v>
                </c:pt>
                <c:pt idx="46">
                  <c:v>79</c:v>
                </c:pt>
                <c:pt idx="47">
                  <c:v>80</c:v>
                </c:pt>
                <c:pt idx="48">
                  <c:v>81</c:v>
                </c:pt>
                <c:pt idx="49">
                  <c:v>82</c:v>
                </c:pt>
                <c:pt idx="50">
                  <c:v>83</c:v>
                </c:pt>
                <c:pt idx="51">
                  <c:v>84</c:v>
                </c:pt>
                <c:pt idx="52">
                  <c:v>85</c:v>
                </c:pt>
                <c:pt idx="53">
                  <c:v>86</c:v>
                </c:pt>
                <c:pt idx="54">
                  <c:v>87</c:v>
                </c:pt>
                <c:pt idx="55">
                  <c:v>88</c:v>
                </c:pt>
                <c:pt idx="56">
                  <c:v>89</c:v>
                </c:pt>
                <c:pt idx="57">
                  <c:v>90</c:v>
                </c:pt>
                <c:pt idx="58">
                  <c:v>91</c:v>
                </c:pt>
                <c:pt idx="59">
                  <c:v>92</c:v>
                </c:pt>
                <c:pt idx="60">
                  <c:v>93</c:v>
                </c:pt>
                <c:pt idx="61">
                  <c:v>94</c:v>
                </c:pt>
                <c:pt idx="62">
                  <c:v>95</c:v>
                </c:pt>
                <c:pt idx="63">
                  <c:v>96</c:v>
                </c:pt>
                <c:pt idx="64">
                  <c:v>97</c:v>
                </c:pt>
                <c:pt idx="65">
                  <c:v>98</c:v>
                </c:pt>
                <c:pt idx="66">
                  <c:v>99</c:v>
                </c:pt>
                <c:pt idx="67">
                  <c:v>100</c:v>
                </c:pt>
                <c:pt idx="68">
                  <c:v>101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105</c:v>
                </c:pt>
                <c:pt idx="73">
                  <c:v>106</c:v>
                </c:pt>
                <c:pt idx="74">
                  <c:v>107</c:v>
                </c:pt>
                <c:pt idx="75">
                  <c:v>108</c:v>
                </c:pt>
                <c:pt idx="76">
                  <c:v>109</c:v>
                </c:pt>
                <c:pt idx="77">
                  <c:v>110</c:v>
                </c:pt>
              </c:numCache>
            </c:numRef>
          </c:cat>
          <c:val>
            <c:numRef>
              <c:f>'資産運用（積立投資信託）'!$U$4:$U$81</c:f>
              <c:numCache>
                <c:formatCode>#,##0</c:formatCode>
                <c:ptCount val="78"/>
                <c:pt idx="0">
                  <c:v>4994800</c:v>
                </c:pt>
                <c:pt idx="1">
                  <c:v>6379898.666666666</c:v>
                </c:pt>
                <c:pt idx="2">
                  <c:v>4289574.6133333333</c:v>
                </c:pt>
                <c:pt idx="3">
                  <c:v>5724810.9311999995</c:v>
                </c:pt>
                <c:pt idx="4">
                  <c:v>7169963.3684480004</c:v>
                </c:pt>
                <c:pt idx="5">
                  <c:v>8009428.5698525868</c:v>
                </c:pt>
                <c:pt idx="6">
                  <c:v>8877645.7126466893</c:v>
                </c:pt>
                <c:pt idx="7">
                  <c:v>9775764.8744858913</c:v>
                </c:pt>
                <c:pt idx="8">
                  <c:v>10688315.469465327</c:v>
                </c:pt>
                <c:pt idx="9">
                  <c:v>11633208.088243939</c:v>
                </c:pt>
                <c:pt idx="10">
                  <c:v>12295069.745107029</c:v>
                </c:pt>
                <c:pt idx="11">
                  <c:v>12991912.534911308</c:v>
                </c:pt>
                <c:pt idx="12">
                  <c:v>13725135.702974427</c:v>
                </c:pt>
                <c:pt idx="13">
                  <c:v>13562861.131093405</c:v>
                </c:pt>
                <c:pt idx="14">
                  <c:v>13123268.909670476</c:v>
                </c:pt>
                <c:pt idx="15">
                  <c:v>12724599.666057294</c:v>
                </c:pt>
                <c:pt idx="16">
                  <c:v>12918490.319366254</c:v>
                </c:pt>
                <c:pt idx="17">
                  <c:v>12223309.932140902</c:v>
                </c:pt>
                <c:pt idx="18">
                  <c:v>11574162.329426538</c:v>
                </c:pt>
                <c:pt idx="19">
                  <c:v>10972888.822603598</c:v>
                </c:pt>
                <c:pt idx="20">
                  <c:v>11346404.375507742</c:v>
                </c:pt>
                <c:pt idx="21">
                  <c:v>11771700.550528053</c:v>
                </c:pt>
                <c:pt idx="22">
                  <c:v>13600848.572549175</c:v>
                </c:pt>
                <c:pt idx="23">
                  <c:v>15486002.515451144</c:v>
                </c:pt>
                <c:pt idx="24">
                  <c:v>18404402.61606919</c:v>
                </c:pt>
                <c:pt idx="25">
                  <c:v>20883378.720711958</c:v>
                </c:pt>
                <c:pt idx="26">
                  <c:v>23925353.869540434</c:v>
                </c:pt>
                <c:pt idx="27">
                  <c:v>25532848.024322052</c:v>
                </c:pt>
                <c:pt idx="28">
                  <c:v>28708481.945294935</c:v>
                </c:pt>
                <c:pt idx="29">
                  <c:v>31454981.223106731</c:v>
                </c:pt>
                <c:pt idx="30">
                  <c:v>34775180.472030997</c:v>
                </c:pt>
                <c:pt idx="31">
                  <c:v>38172027.690912247</c:v>
                </c:pt>
                <c:pt idx="32">
                  <c:v>39181955.241639614</c:v>
                </c:pt>
                <c:pt idx="33">
                  <c:v>40089625.417288803</c:v>
                </c:pt>
                <c:pt idx="34">
                  <c:v>41033055.696607463</c:v>
                </c:pt>
                <c:pt idx="35">
                  <c:v>42013318.882705688</c:v>
                </c:pt>
                <c:pt idx="36">
                  <c:v>43031519.962786861</c:v>
                </c:pt>
                <c:pt idx="37">
                  <c:v>44088797.073670469</c:v>
                </c:pt>
                <c:pt idx="38">
                  <c:v>46386322.496280581</c:v>
                </c:pt>
                <c:pt idx="39">
                  <c:v>48725303.679968998</c:v>
                </c:pt>
                <c:pt idx="40">
                  <c:v>51106984.297568068</c:v>
                </c:pt>
                <c:pt idx="41">
                  <c:v>53532645.332095109</c:v>
                </c:pt>
                <c:pt idx="42">
                  <c:v>56003606.196057968</c:v>
                </c:pt>
                <c:pt idx="43">
                  <c:v>58521225.884339705</c:v>
                </c:pt>
                <c:pt idx="44">
                  <c:v>61086904.161669895</c:v>
                </c:pt>
                <c:pt idx="45">
                  <c:v>63702082.785719991</c:v>
                </c:pt>
                <c:pt idx="46">
                  <c:v>66368246.766891599</c:v>
                </c:pt>
                <c:pt idx="47">
                  <c:v>69086925.665898338</c:v>
                </c:pt>
                <c:pt idx="48">
                  <c:v>71859694.930275291</c:v>
                </c:pt>
                <c:pt idx="49">
                  <c:v>74688177.270983547</c:v>
                </c:pt>
                <c:pt idx="50">
                  <c:v>77574044.080313057</c:v>
                </c:pt>
                <c:pt idx="51">
                  <c:v>80519016.892322451</c:v>
                </c:pt>
                <c:pt idx="52">
                  <c:v>83524868.887092128</c:v>
                </c:pt>
                <c:pt idx="53">
                  <c:v>86593426.440104887</c:v>
                </c:pt>
                <c:pt idx="54">
                  <c:v>89726570.718108028</c:v>
                </c:pt>
                <c:pt idx="55">
                  <c:v>92926239.32285127</c:v>
                </c:pt>
                <c:pt idx="56">
                  <c:v>96194427.98413682</c:v>
                </c:pt>
                <c:pt idx="57">
                  <c:v>99533192.303660929</c:v>
                </c:pt>
                <c:pt idx="58">
                  <c:v>102944649.55117075</c:v>
                </c:pt>
                <c:pt idx="59">
                  <c:v>106430980.51450588</c:v>
                </c:pt>
                <c:pt idx="60">
                  <c:v>109994431.40514106</c:v>
                </c:pt>
                <c:pt idx="61">
                  <c:v>113637315.82089528</c:v>
                </c:pt>
                <c:pt idx="62">
                  <c:v>117362016.76752214</c:v>
                </c:pt>
                <c:pt idx="63">
                  <c:v>121170988.7409478</c:v>
                </c:pt>
                <c:pt idx="64">
                  <c:v>125066759.87197623</c:v>
                </c:pt>
                <c:pt idx="65">
                  <c:v>129051934.13533551</c:v>
                </c:pt>
                <c:pt idx="66">
                  <c:v>133129193.62499557</c:v>
                </c:pt>
                <c:pt idx="67">
                  <c:v>137301300.89774543</c:v>
                </c:pt>
                <c:pt idx="68">
                  <c:v>141571101.38707781</c:v>
                </c:pt>
                <c:pt idx="69">
                  <c:v>145941525.88949013</c:v>
                </c:pt>
                <c:pt idx="70">
                  <c:v>150415593.12537482</c:v>
                </c:pt>
                <c:pt idx="71">
                  <c:v>154996412.37673607</c:v>
                </c:pt>
                <c:pt idx="72">
                  <c:v>159687186.20403817</c:v>
                </c:pt>
                <c:pt idx="73">
                  <c:v>164491213.24455932</c:v>
                </c:pt>
                <c:pt idx="74">
                  <c:v>169411891.09469607</c:v>
                </c:pt>
                <c:pt idx="75">
                  <c:v>174452719.27873695</c:v>
                </c:pt>
                <c:pt idx="76">
                  <c:v>179617302.3066991</c:v>
                </c:pt>
                <c:pt idx="77">
                  <c:v>184909352.82390004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0-D44D-9458-97440AA1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580048"/>
        <c:axId val="343774304"/>
      </c:barChart>
      <c:catAx>
        <c:axId val="2735800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3774304"/>
        <c:crosses val="autoZero"/>
        <c:auto val="1"/>
        <c:lblAlgn val="ctr"/>
        <c:lblOffset val="500"/>
        <c:noMultiLvlLbl val="0"/>
      </c:catAx>
      <c:valAx>
        <c:axId val="3437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358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161782193352965"/>
          <c:y val="0.21992363959242042"/>
          <c:w val="9.188707182228785E-2"/>
          <c:h val="7.732895136277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132792</xdr:colOff>
      <xdr:row>2</xdr:row>
      <xdr:rowOff>31864</xdr:rowOff>
    </xdr:from>
    <xdr:to>
      <xdr:col>12</xdr:col>
      <xdr:colOff>817923</xdr:colOff>
      <xdr:row>31</xdr:row>
      <xdr:rowOff>184931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EC700CA-F45B-D747-819C-48B654D2A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P110"/>
  <sheetViews>
    <sheetView tabSelected="1" zoomScale="75" workbookViewId="0">
      <selection activeCell="R4" sqref="R4:R83"/>
    </sheetView>
  </sheetViews>
  <sheetFormatPr baseColWidth="10" defaultColWidth="12.6640625" defaultRowHeight="16" customHeight="1"/>
  <cols>
    <col min="1" max="1" width="27.33203125" customWidth="1"/>
    <col min="2" max="2" width="17.1640625" customWidth="1"/>
    <col min="3" max="3" width="22.1640625" customWidth="1"/>
    <col min="4" max="4" width="14.5" customWidth="1"/>
    <col min="18" max="18" width="15.5" customWidth="1"/>
    <col min="24" max="24" width="13.83203125" customWidth="1"/>
    <col min="25" max="25" width="14.33203125" customWidth="1"/>
    <col min="26" max="26" width="13.6640625" customWidth="1"/>
    <col min="27" max="27" width="14.33203125" customWidth="1"/>
    <col min="28" max="31" width="11.1640625" customWidth="1"/>
    <col min="36" max="36" width="15" customWidth="1"/>
  </cols>
  <sheetData>
    <row r="1" spans="1:42" ht="34" customHeight="1">
      <c r="A1" s="60" t="s">
        <v>132</v>
      </c>
      <c r="C1" s="21" t="s">
        <v>131</v>
      </c>
    </row>
    <row r="2" spans="1:42" ht="16" customHeight="1">
      <c r="B2" s="56" t="s">
        <v>123</v>
      </c>
      <c r="E2" s="2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2"/>
      <c r="AE2" s="2"/>
      <c r="AF2" s="7"/>
      <c r="AG2" s="7"/>
      <c r="AH2" s="7"/>
    </row>
    <row r="3" spans="1:42" ht="16" customHeight="1">
      <c r="A3" s="26" t="s">
        <v>21</v>
      </c>
      <c r="B3" s="26" t="s">
        <v>22</v>
      </c>
      <c r="E3" s="2"/>
      <c r="F3" s="7"/>
      <c r="G3" s="7"/>
      <c r="H3" s="7"/>
      <c r="I3" s="7"/>
      <c r="J3" s="7"/>
      <c r="K3" s="7"/>
      <c r="L3" s="7"/>
      <c r="M3" s="7"/>
      <c r="N3" s="5" t="s">
        <v>4</v>
      </c>
      <c r="O3" s="5" t="s">
        <v>7</v>
      </c>
      <c r="P3" s="6" t="s">
        <v>110</v>
      </c>
      <c r="Q3" s="6" t="s">
        <v>118</v>
      </c>
      <c r="R3" s="6" t="s">
        <v>96</v>
      </c>
      <c r="S3" s="6" t="s">
        <v>113</v>
      </c>
      <c r="T3" s="6" t="s">
        <v>114</v>
      </c>
      <c r="U3" s="6" t="s">
        <v>115</v>
      </c>
      <c r="V3" s="5" t="s">
        <v>119</v>
      </c>
      <c r="W3" s="5" t="s">
        <v>120</v>
      </c>
      <c r="X3" s="5" t="s">
        <v>108</v>
      </c>
      <c r="Y3" s="5" t="s">
        <v>109</v>
      </c>
      <c r="Z3" s="5" t="s">
        <v>9</v>
      </c>
      <c r="AA3" s="20" t="s">
        <v>19</v>
      </c>
      <c r="AB3" s="20" t="s">
        <v>20</v>
      </c>
      <c r="AC3" s="20" t="s">
        <v>60</v>
      </c>
      <c r="AD3" s="20" t="s">
        <v>65</v>
      </c>
      <c r="AE3" s="20" t="s">
        <v>101</v>
      </c>
      <c r="AF3" s="20" t="s">
        <v>102</v>
      </c>
      <c r="AG3" s="20" t="s">
        <v>103</v>
      </c>
      <c r="AH3" s="20" t="s">
        <v>104</v>
      </c>
      <c r="AJ3" s="55" t="s">
        <v>122</v>
      </c>
      <c r="AK3" s="40"/>
      <c r="AL3" s="40"/>
      <c r="AM3" s="40"/>
      <c r="AN3" s="40"/>
      <c r="AO3" s="40"/>
      <c r="AP3" s="41"/>
    </row>
    <row r="4" spans="1:42" ht="16" customHeight="1">
      <c r="A4" s="61" t="s">
        <v>61</v>
      </c>
      <c r="B4" s="27">
        <v>2000000</v>
      </c>
      <c r="C4" s="21" t="s">
        <v>63</v>
      </c>
      <c r="D4" s="2"/>
      <c r="E4" s="2"/>
      <c r="F4" s="7"/>
      <c r="G4" s="7"/>
      <c r="H4" s="7"/>
      <c r="I4" s="7"/>
      <c r="J4" s="7"/>
      <c r="K4" s="7"/>
      <c r="L4" s="7"/>
      <c r="M4" s="7"/>
      <c r="N4" s="4">
        <v>1</v>
      </c>
      <c r="O4" s="8">
        <f t="shared" ref="O4:O35" si="0">B$8+N4</f>
        <v>33</v>
      </c>
      <c r="P4" s="8">
        <f>IF(O4&lt;B$10,B$16,0)*80%+IF(O4&gt;=B$11,B$19*12,0)*90%</f>
        <v>4800000</v>
      </c>
      <c r="Q4" s="8">
        <f t="shared" ref="Q4:Q35" si="1">-IF(O4&lt;=B$10,C$32,B$32)*12+IF(O4&gt;B$25,B$24*12,0)</f>
        <v>-3396000</v>
      </c>
      <c r="R4" s="8">
        <f>-(SUM(AE4:AH4)+IF(O4=B41,B42,0))-IF(O4=B$50,B$49,0)-IF(O4=B$52,B$51,0)</f>
        <v>0</v>
      </c>
      <c r="S4" s="8">
        <f t="shared" ref="S4:S35" si="2">SUM(P4:R4)</f>
        <v>1404000</v>
      </c>
      <c r="T4" s="8">
        <f>B4+S4</f>
        <v>3404000</v>
      </c>
      <c r="U4" s="8">
        <f t="shared" ref="U4:U35" si="3">T4+W4</f>
        <v>4994800</v>
      </c>
      <c r="V4" s="3">
        <f>B5</f>
        <v>1000000</v>
      </c>
      <c r="W4" s="8">
        <f t="shared" ref="W4:W32" si="4">V5</f>
        <v>1590800</v>
      </c>
      <c r="X4" s="8">
        <f t="shared" ref="X4:X35" si="5">IF(O4&lt;=B$10,IF(O4&gt;=B$9,B$6*12,0),0)</f>
        <v>540000</v>
      </c>
      <c r="Y4" s="8">
        <f t="shared" ref="Y4:Y35" si="6">IF(V4&lt;0,0,((X4/2)+V4)*IF(O4&lt;B$10,B$7,B$38))</f>
        <v>50800</v>
      </c>
      <c r="Z4" s="8">
        <f>X4</f>
        <v>540000</v>
      </c>
      <c r="AA4" s="16">
        <f>IF(B43="","-",B8-B43)</f>
        <v>3</v>
      </c>
      <c r="AB4" s="16">
        <f>IF(B44="","-",B8-B44)</f>
        <v>-1</v>
      </c>
      <c r="AC4" s="35" t="str">
        <f>IF(B45="","-",B8-B45)</f>
        <v>-</v>
      </c>
      <c r="AD4" s="35" t="str">
        <f>IF(B46="","-",B8-B46)</f>
        <v>-</v>
      </c>
      <c r="AE4" s="36">
        <f>IF(AND(AA4&gt;=4,AA4&lt;=6),$E$56,0)+IF(AND(AA4&gt;=7,AA4&lt;=12),$E$57,0)+IF(AND(AA4&gt;=13,AA4&lt;=15),$E$58,0)+IF(AND(AA4&gt;=16,AA4&lt;=18),$E$59,0)+IF(AND(AA4&gt;=19,AA4&lt;=22),$E$60,0)+IF(AND(AA4&gt;=23,AA4&lt;=24),$E$61,0)+IF(AA4=$B$47,$B$48,0)</f>
        <v>0</v>
      </c>
      <c r="AF4" s="36">
        <f>IF(AND(AB4&gt;=4,AB4&lt;=6),$E$65,0)+IF(AND(AB4&gt;=7,AB4&lt;=12),$E$66,0)+IF(AND(AB4&gt;=13,AB4&lt;=15),$E$67,0)+IF(AND(AB4&gt;=16,AB4&lt;=18),$E$68,0)+IF(AND(AB4&gt;=19,AB4&lt;=22),$E$69,0)+IF(AND(AB4&gt;=23,AB4&lt;=24),$E$70,0)+IF(AB4=$B$47,$B$48,0)</f>
        <v>0</v>
      </c>
      <c r="AG4" s="36">
        <f>IF(AND(AC4&gt;=4,AC4&lt;=6),$E$74,0)+IF(AND(AC4&gt;=7,AC4&lt;=12),$E$75,0)+IF(AND(AC4&gt;=13,AC4&lt;=15),$E$76,0)+IF(AND(AC4&gt;=16,AC4&lt;=18),$E$77,0)+IF(AND(AC4&gt;=19,AC4&lt;=22),$E$78,0)+IF(AND(AC4&gt;=23,AC4&lt;=24),$E$79,0)+IF(AC4=$B$47,$B$48,0)</f>
        <v>0</v>
      </c>
      <c r="AH4" s="36">
        <f>IF(AND(AD4&gt;=4,AD4&lt;=6),$E$83,0)+IF(AND(AD4&gt;=7,AD4&lt;=12),$E$84,0)+IF(AND(AD4&gt;=13,AD4&lt;=15),$E$85,0)+IF(AND(AD4&gt;=16,AD4&lt;=18),$E$86,0)+IF(AND(AD4&gt;=19,AD4&lt;=22),$E$87,0)+IF(AND(AD4&gt;=23,AD4&lt;=24),$E$88,0)+IF(AD4=$B$47,$B$48,0)</f>
        <v>0</v>
      </c>
      <c r="AJ4" s="42"/>
      <c r="AK4" s="43" t="s">
        <v>76</v>
      </c>
      <c r="AL4" s="43" t="s">
        <v>84</v>
      </c>
      <c r="AM4" s="44"/>
      <c r="AN4" s="44"/>
      <c r="AO4" s="44"/>
      <c r="AP4" s="45"/>
    </row>
    <row r="5" spans="1:42" ht="16" customHeight="1">
      <c r="A5" s="62" t="s">
        <v>0</v>
      </c>
      <c r="B5" s="17">
        <v>1000000</v>
      </c>
      <c r="C5" s="2"/>
      <c r="E5" s="2"/>
      <c r="F5" s="7"/>
      <c r="G5" s="7"/>
      <c r="H5" s="7"/>
      <c r="I5" s="7"/>
      <c r="J5" s="7"/>
      <c r="K5" s="7"/>
      <c r="L5" s="7"/>
      <c r="M5" s="7"/>
      <c r="N5" s="4">
        <f t="shared" ref="N5:N68" si="7">N4+1</f>
        <v>2</v>
      </c>
      <c r="O5" s="8">
        <f t="shared" si="0"/>
        <v>34</v>
      </c>
      <c r="P5" s="8">
        <f t="shared" ref="P5:P68" si="8">IF(O5&lt;B$10,B$16,0)*80%+IF(O5&gt;=B$11,B$19*12,0)*90%</f>
        <v>4800000</v>
      </c>
      <c r="Q5" s="8">
        <f t="shared" si="1"/>
        <v>-3396000</v>
      </c>
      <c r="R5" s="8">
        <f t="shared" ref="R5:R68" si="9">-(SUM(AE5:AH5)+IF(O5=B42,B43,0))-IF(O5=B$50,B$49,0)-IF(O5=B$52,B$51,0)</f>
        <v>-633333.33333333337</v>
      </c>
      <c r="S5" s="8">
        <f t="shared" si="2"/>
        <v>770666.66666666663</v>
      </c>
      <c r="T5" s="38">
        <f>T4+S5</f>
        <v>4174666.6666666665</v>
      </c>
      <c r="U5" s="8">
        <f t="shared" si="3"/>
        <v>6379898.666666666</v>
      </c>
      <c r="V5" s="8">
        <f t="shared" ref="V5:V36" si="10">V4+X4+Y4</f>
        <v>1590800</v>
      </c>
      <c r="W5" s="8">
        <f t="shared" si="4"/>
        <v>2205232</v>
      </c>
      <c r="X5" s="8">
        <f t="shared" si="5"/>
        <v>540000</v>
      </c>
      <c r="Y5" s="8">
        <f t="shared" si="6"/>
        <v>74432</v>
      </c>
      <c r="Z5" s="8">
        <f t="shared" ref="Z5:Z36" si="11">Z4+X5</f>
        <v>1080000</v>
      </c>
      <c r="AA5" s="7">
        <f t="shared" ref="AA5:AA68" si="12">IF(AA4="-","-",AA4+1)</f>
        <v>4</v>
      </c>
      <c r="AB5" s="7">
        <f t="shared" ref="AB5:AB68" si="13">IF(AB4="-","-",AB4+1)</f>
        <v>0</v>
      </c>
      <c r="AC5" s="4" t="str">
        <f>IF(AC4="-","-",AC4+1)</f>
        <v>-</v>
      </c>
      <c r="AD5" s="4" t="str">
        <f>IF(AD4="-","-",AD4+1)</f>
        <v>-</v>
      </c>
      <c r="AE5" s="36">
        <f>IF(AND(AA5&gt;=4,AA5&lt;=6),$E$56,0)+IF(AND(AA5&gt;=7,AA5&lt;=12),$E$57,0)+IF(AND(AA5&gt;=13,AA5&lt;=15),$E$58,0)+IF(AND(AA5&gt;=16,AA5&lt;=18),$E$59,0)+IF(AND(AA5&gt;=19,AA5&lt;=22),$E$60,0)+IF(AND(AA5&gt;=23,AA5&lt;=24),$E$61,0)+IF(AA5=$B$47,$B$48,0)</f>
        <v>633333.33333333337</v>
      </c>
      <c r="AF5" s="36">
        <f>IF(AND(AB5&gt;=4,AB5&lt;=6),$E$65,0)+IF(AND(AB5&gt;=7,AB5&lt;=12),$E$66,0)+IF(AND(AB5&gt;=13,AB5&lt;=15),$E$67,0)+IF(AND(AB5&gt;=16,AB5&lt;=18),$E$68,0)+IF(AND(AB5&gt;=19,AB5&lt;=22),$E$69,0)+IF(AND(AB5&gt;=23,AB5&lt;=24),$E$70,0)+IF(AB5=$B$47,$B$48,0)</f>
        <v>0</v>
      </c>
      <c r="AG5" s="36">
        <f>IF(AND(AC5&gt;=4,AC5&lt;=6),$E$74,0)+IF(AND(AC5&gt;=7,AC5&lt;=12),$E$75,0)+IF(AND(AC5&gt;=13,AC5&lt;=15),$E$76,0)+IF(AND(AC5&gt;=16,AC5&lt;=18),$E$77,0)+IF(AND(AC5&gt;=19,AC5&lt;=22),$E$78,0)+IF(AND(AC5&gt;=23,AC5&lt;=24),$E$79,0)+IF(AC5=$B$47,$B$48,0)</f>
        <v>0</v>
      </c>
      <c r="AH5" s="36">
        <f>IF(AND(AD5&gt;=4,AD5&lt;=6),$E$83,0)+IF(AND(AD5&gt;=7,AD5&lt;=12),$E$84,0)+IF(AND(AD5&gt;=13,AD5&lt;=15),$E$85,0)+IF(AND(AD5&gt;=16,AD5&lt;=18),$E$86,0)+IF(AND(AD5&gt;=19,AD5&lt;=22),$E$87,0)+IF(AND(AD5&gt;=23,AD5&lt;=24),$E$88,0)+IF(AD5=$B$47,$B$48,0)</f>
        <v>0</v>
      </c>
      <c r="AJ5" s="46" t="s">
        <v>81</v>
      </c>
      <c r="AK5" s="43">
        <v>160</v>
      </c>
      <c r="AL5" s="43">
        <v>66</v>
      </c>
      <c r="AM5" s="44"/>
      <c r="AN5" s="44"/>
      <c r="AO5" s="44"/>
      <c r="AP5" s="45"/>
    </row>
    <row r="6" spans="1:42" ht="16" customHeight="1">
      <c r="A6" s="62" t="s">
        <v>1</v>
      </c>
      <c r="B6" s="17">
        <v>45000</v>
      </c>
      <c r="E6" s="2"/>
      <c r="F6" s="7"/>
      <c r="G6" s="7"/>
      <c r="H6" s="7"/>
      <c r="I6" s="7"/>
      <c r="J6" s="7"/>
      <c r="K6" s="7"/>
      <c r="L6" s="7"/>
      <c r="M6" s="7"/>
      <c r="N6" s="4">
        <f t="shared" si="7"/>
        <v>3</v>
      </c>
      <c r="O6" s="8">
        <f t="shared" si="0"/>
        <v>35</v>
      </c>
      <c r="P6" s="8">
        <f t="shared" si="8"/>
        <v>4800000</v>
      </c>
      <c r="Q6" s="8">
        <f t="shared" si="1"/>
        <v>-3396000</v>
      </c>
      <c r="R6" s="8">
        <f t="shared" si="9"/>
        <v>-4133333.3333333335</v>
      </c>
      <c r="S6" s="8">
        <f t="shared" si="2"/>
        <v>-2729333.3333333335</v>
      </c>
      <c r="T6" s="38">
        <f t="shared" ref="T6:T69" si="14">T5+S6</f>
        <v>1445333.333333333</v>
      </c>
      <c r="U6" s="8">
        <f t="shared" si="3"/>
        <v>4289574.6133333333</v>
      </c>
      <c r="V6" s="8">
        <f t="shared" si="10"/>
        <v>2205232</v>
      </c>
      <c r="W6" s="8">
        <f t="shared" si="4"/>
        <v>2844241.28</v>
      </c>
      <c r="X6" s="8">
        <f t="shared" si="5"/>
        <v>540000</v>
      </c>
      <c r="Y6" s="8">
        <f t="shared" si="6"/>
        <v>99009.279999999999</v>
      </c>
      <c r="Z6" s="8">
        <f t="shared" si="11"/>
        <v>1620000</v>
      </c>
      <c r="AA6" s="7">
        <f t="shared" si="12"/>
        <v>5</v>
      </c>
      <c r="AB6" s="7">
        <f t="shared" si="13"/>
        <v>1</v>
      </c>
      <c r="AC6" s="4" t="str">
        <f t="shared" ref="AC6:AC69" si="15">IF(AC5="-","-",AC5+1)</f>
        <v>-</v>
      </c>
      <c r="AD6" s="4" t="str">
        <f t="shared" ref="AD6:AD69" si="16">IF(AD5="-","-",AD5+1)</f>
        <v>-</v>
      </c>
      <c r="AE6" s="36">
        <f>IF(AND(AA6&gt;=4,AA6&lt;=6),$E$56,0)+IF(AND(AA6&gt;=7,AA6&lt;=12),$E$57,0)+IF(AND(AA6&gt;=13,AA6&lt;=15),$E$58,0)+IF(AND(AA6&gt;=16,AA6&lt;=18),$E$59,0)+IF(AND(AA6&gt;=19,AA6&lt;=22),$E$60,0)+IF(AND(AA6&gt;=23,AA6&lt;=24),$E$61,0)+IF(AA6=$B$47,$B$48,0)</f>
        <v>633333.33333333337</v>
      </c>
      <c r="AF6" s="36">
        <f>IF(AND(AB6&gt;=4,AB6&lt;=6),$E$65,0)+IF(AND(AB6&gt;=7,AB6&lt;=12),$E$66,0)+IF(AND(AB6&gt;=13,AB6&lt;=15),$E$67,0)+IF(AND(AB6&gt;=16,AB6&lt;=18),$E$68,0)+IF(AND(AB6&gt;=19,AB6&lt;=22),$E$69,0)+IF(AND(AB6&gt;=23,AB6&lt;=24),$E$70,0)+IF(AB6=$B$47,$B$48,0)</f>
        <v>0</v>
      </c>
      <c r="AG6" s="36">
        <f>IF(AND(AC6&gt;=4,AC6&lt;=6),$E$74,0)+IF(AND(AC6&gt;=7,AC6&lt;=12),$E$75,0)+IF(AND(AC6&gt;=13,AC6&lt;=15),$E$76,0)+IF(AND(AC6&gt;=16,AC6&lt;=18),$E$77,0)+IF(AND(AC6&gt;=19,AC6&lt;=22),$E$78,0)+IF(AND(AC6&gt;=23,AC6&lt;=24),$E$79,0)+IF(AC6=$B$47,$B$48,0)</f>
        <v>0</v>
      </c>
      <c r="AH6" s="36">
        <f>IF(AND(AD6&gt;=4,AD6&lt;=6),$E$83,0)+IF(AND(AD6&gt;=7,AD6&lt;=12),$E$84,0)+IF(AND(AD6&gt;=13,AD6&lt;=15),$E$85,0)+IF(AND(AD6&gt;=16,AD6&lt;=18),$E$86,0)+IF(AND(AD6&gt;=19,AD6&lt;=22),$E$87,0)+IF(AND(AD6&gt;=23,AD6&lt;=24),$E$88,0)+IF(AD6=$B$47,$B$48,0)</f>
        <v>0</v>
      </c>
      <c r="AI6" s="7"/>
      <c r="AJ6" s="46" t="s">
        <v>71</v>
      </c>
      <c r="AK6" s="43">
        <v>960</v>
      </c>
      <c r="AL6" s="43">
        <v>190</v>
      </c>
      <c r="AM6" s="44"/>
      <c r="AN6" s="44"/>
      <c r="AO6" s="44"/>
      <c r="AP6" s="45"/>
    </row>
    <row r="7" spans="1:42" ht="16" customHeight="1">
      <c r="A7" s="62" t="s">
        <v>2</v>
      </c>
      <c r="B7" s="18">
        <v>0.04</v>
      </c>
      <c r="E7" s="2"/>
      <c r="F7" s="7"/>
      <c r="G7" s="7"/>
      <c r="H7" s="7"/>
      <c r="I7" s="7"/>
      <c r="J7" s="7"/>
      <c r="K7" s="7"/>
      <c r="L7" s="7"/>
      <c r="M7" s="7"/>
      <c r="N7" s="4">
        <f t="shared" si="7"/>
        <v>4</v>
      </c>
      <c r="O7" s="8">
        <f t="shared" si="0"/>
        <v>36</v>
      </c>
      <c r="P7" s="8">
        <f t="shared" si="8"/>
        <v>4800000</v>
      </c>
      <c r="Q7" s="8">
        <f t="shared" si="1"/>
        <v>-3396000</v>
      </c>
      <c r="R7" s="8">
        <f t="shared" si="9"/>
        <v>-633333.33333333337</v>
      </c>
      <c r="S7" s="8">
        <f t="shared" si="2"/>
        <v>770666.66666666663</v>
      </c>
      <c r="T7" s="38">
        <f t="shared" si="14"/>
        <v>2215999.9999999995</v>
      </c>
      <c r="U7" s="8">
        <f t="shared" si="3"/>
        <v>5724810.9311999995</v>
      </c>
      <c r="V7" s="8">
        <f t="shared" si="10"/>
        <v>2844241.28</v>
      </c>
      <c r="W7" s="8">
        <f t="shared" si="4"/>
        <v>3508810.9312</v>
      </c>
      <c r="X7" s="8">
        <f t="shared" si="5"/>
        <v>540000</v>
      </c>
      <c r="Y7" s="8">
        <f t="shared" si="6"/>
        <v>124569.65119999999</v>
      </c>
      <c r="Z7" s="8">
        <f t="shared" si="11"/>
        <v>2160000</v>
      </c>
      <c r="AA7" s="7">
        <f t="shared" si="12"/>
        <v>6</v>
      </c>
      <c r="AB7" s="7">
        <f t="shared" si="13"/>
        <v>2</v>
      </c>
      <c r="AC7" s="4" t="str">
        <f t="shared" si="15"/>
        <v>-</v>
      </c>
      <c r="AD7" s="4" t="str">
        <f t="shared" si="16"/>
        <v>-</v>
      </c>
      <c r="AE7" s="36">
        <f>IF(AND(AA7&gt;=4,AA7&lt;=6),$E$56,0)+IF(AND(AA7&gt;=7,AA7&lt;=12),$E$57,0)+IF(AND(AA7&gt;=13,AA7&lt;=15),$E$58,0)+IF(AND(AA7&gt;=16,AA7&lt;=18),$E$59,0)+IF(AND(AA7&gt;=19,AA7&lt;=22),$E$60,0)+IF(AND(AA7&gt;=23,AA7&lt;=24),$E$61,0)+IF(AA7=$B$47,$B$48,0)</f>
        <v>633333.33333333337</v>
      </c>
      <c r="AF7" s="36">
        <f>IF(AND(AB7&gt;=4,AB7&lt;=6),$E$65,0)+IF(AND(AB7&gt;=7,AB7&lt;=12),$E$66,0)+IF(AND(AB7&gt;=13,AB7&lt;=15),$E$67,0)+IF(AND(AB7&gt;=16,AB7&lt;=18),$E$68,0)+IF(AND(AB7&gt;=19,AB7&lt;=22),$E$69,0)+IF(AND(AB7&gt;=23,AB7&lt;=24),$E$70,0)+IF(AB7=$B$47,$B$48,0)</f>
        <v>0</v>
      </c>
      <c r="AG7" s="36">
        <f>IF(AND(AC7&gt;=4,AC7&lt;=6),$E$74,0)+IF(AND(AC7&gt;=7,AC7&lt;=12),$E$75,0)+IF(AND(AC7&gt;=13,AC7&lt;=15),$E$76,0)+IF(AND(AC7&gt;=16,AC7&lt;=18),$E$77,0)+IF(AND(AC7&gt;=19,AC7&lt;=22),$E$78,0)+IF(AND(AC7&gt;=23,AC7&lt;=24),$E$79,0)+IF(AC7=$B$47,$B$48,0)</f>
        <v>0</v>
      </c>
      <c r="AH7" s="36">
        <f>IF(AND(AD7&gt;=4,AD7&lt;=6),$E$83,0)+IF(AND(AD7&gt;=7,AD7&lt;=12),$E$84,0)+IF(AND(AD7&gt;=13,AD7&lt;=15),$E$85,0)+IF(AND(AD7&gt;=16,AD7&lt;=18),$E$86,0)+IF(AND(AD7&gt;=19,AD7&lt;=22),$E$87,0)+IF(AND(AD7&gt;=23,AD7&lt;=24),$E$88,0)+IF(AD7=$B$47,$B$48,0)</f>
        <v>0</v>
      </c>
      <c r="AI7" s="7"/>
      <c r="AJ7" s="46" t="s">
        <v>72</v>
      </c>
      <c r="AK7" s="43">
        <v>420</v>
      </c>
      <c r="AL7" s="43">
        <v>150</v>
      </c>
      <c r="AM7" s="44"/>
      <c r="AN7" s="44"/>
      <c r="AO7" s="44"/>
      <c r="AP7" s="45"/>
    </row>
    <row r="8" spans="1:42" ht="16" customHeight="1">
      <c r="A8" s="63" t="s">
        <v>3</v>
      </c>
      <c r="B8" s="19">
        <v>32</v>
      </c>
      <c r="C8" s="21" t="s">
        <v>93</v>
      </c>
      <c r="D8">
        <f ca="1">IF(B8-B9-(YEAR(TODAY())-2003)&gt;0,B8-B9-(YEAR(TODAY())-2003),0)</f>
        <v>0</v>
      </c>
      <c r="E8" s="2"/>
      <c r="F8" s="7"/>
      <c r="G8" s="7"/>
      <c r="H8" s="7"/>
      <c r="I8" s="7"/>
      <c r="J8" s="7"/>
      <c r="K8" s="7"/>
      <c r="L8" s="7"/>
      <c r="M8" s="7"/>
      <c r="N8" s="4">
        <f t="shared" si="7"/>
        <v>5</v>
      </c>
      <c r="O8" s="8">
        <f t="shared" si="0"/>
        <v>37</v>
      </c>
      <c r="P8" s="8">
        <f t="shared" si="8"/>
        <v>4800000</v>
      </c>
      <c r="Q8" s="8">
        <f t="shared" si="1"/>
        <v>-3396000</v>
      </c>
      <c r="R8" s="8">
        <f t="shared" si="9"/>
        <v>-650000</v>
      </c>
      <c r="S8" s="8">
        <f t="shared" si="2"/>
        <v>754000</v>
      </c>
      <c r="T8" s="38">
        <f t="shared" si="14"/>
        <v>2969999.9999999995</v>
      </c>
      <c r="U8" s="8">
        <f t="shared" si="3"/>
        <v>7169963.3684480004</v>
      </c>
      <c r="V8" s="8">
        <f t="shared" si="10"/>
        <v>3508810.9312</v>
      </c>
      <c r="W8" s="8">
        <f t="shared" si="4"/>
        <v>4199963.3684480004</v>
      </c>
      <c r="X8" s="8">
        <f t="shared" si="5"/>
        <v>540000</v>
      </c>
      <c r="Y8" s="8">
        <f t="shared" si="6"/>
        <v>151152.437248</v>
      </c>
      <c r="Z8" s="8">
        <f t="shared" si="11"/>
        <v>2700000</v>
      </c>
      <c r="AA8" s="7">
        <f t="shared" si="12"/>
        <v>7</v>
      </c>
      <c r="AB8" s="7">
        <f t="shared" si="13"/>
        <v>3</v>
      </c>
      <c r="AC8" s="4" t="str">
        <f t="shared" si="15"/>
        <v>-</v>
      </c>
      <c r="AD8" s="4" t="str">
        <f t="shared" si="16"/>
        <v>-</v>
      </c>
      <c r="AE8" s="36">
        <f>IF(AND(AA8&gt;=4,AA8&lt;=6),$E$56,0)+IF(AND(AA8&gt;=7,AA8&lt;=12),$E$57,0)+IF(AND(AA8&gt;=13,AA8&lt;=15),$E$58,0)+IF(AND(AA8&gt;=16,AA8&lt;=18),$E$59,0)+IF(AND(AA8&gt;=19,AA8&lt;=22),$E$60,0)+IF(AND(AA8&gt;=23,AA8&lt;=24),$E$61,0)+IF(AA8=$B$47,$B$48,0)</f>
        <v>650000</v>
      </c>
      <c r="AF8" s="36">
        <f>IF(AND(AB8&gt;=4,AB8&lt;=6),$E$65,0)+IF(AND(AB8&gt;=7,AB8&lt;=12),$E$66,0)+IF(AND(AB8&gt;=13,AB8&lt;=15),$E$67,0)+IF(AND(AB8&gt;=16,AB8&lt;=18),$E$68,0)+IF(AND(AB8&gt;=19,AB8&lt;=22),$E$69,0)+IF(AND(AB8&gt;=23,AB8&lt;=24),$E$70,0)+IF(AB8=$B$47,$B$48,0)</f>
        <v>0</v>
      </c>
      <c r="AG8" s="36">
        <f>IF(AND(AC8&gt;=4,AC8&lt;=6),$E$74,0)+IF(AND(AC8&gt;=7,AC8&lt;=12),$E$75,0)+IF(AND(AC8&gt;=13,AC8&lt;=15),$E$76,0)+IF(AND(AC8&gt;=16,AC8&lt;=18),$E$77,0)+IF(AND(AC8&gt;=19,AC8&lt;=22),$E$78,0)+IF(AND(AC8&gt;=23,AC8&lt;=24),$E$79,0)+IF(AC8=$B$47,$B$48,0)</f>
        <v>0</v>
      </c>
      <c r="AH8" s="36">
        <f>IF(AND(AD8&gt;=4,AD8&lt;=6),$E$83,0)+IF(AND(AD8&gt;=7,AD8&lt;=12),$E$84,0)+IF(AND(AD8&gt;=13,AD8&lt;=15),$E$85,0)+IF(AND(AD8&gt;=16,AD8&lt;=18),$E$86,0)+IF(AND(AD8&gt;=19,AD8&lt;=22),$E$87,0)+IF(AND(AD8&gt;=23,AD8&lt;=24),$E$88,0)+IF(AD8=$B$47,$B$48,0)</f>
        <v>0</v>
      </c>
      <c r="AI8" s="7"/>
      <c r="AJ8" s="46" t="s">
        <v>73</v>
      </c>
      <c r="AK8" s="43">
        <v>300</v>
      </c>
      <c r="AL8" s="43">
        <v>140</v>
      </c>
      <c r="AM8" s="44"/>
      <c r="AN8" s="44"/>
      <c r="AO8" s="44"/>
      <c r="AP8" s="45"/>
    </row>
    <row r="9" spans="1:42" ht="16" customHeight="1">
      <c r="A9" s="62" t="s">
        <v>23</v>
      </c>
      <c r="B9" s="28">
        <v>23</v>
      </c>
      <c r="C9" s="21" t="s">
        <v>94</v>
      </c>
      <c r="D9">
        <f ca="1">B10-B9-D8</f>
        <v>42</v>
      </c>
      <c r="E9" s="2"/>
      <c r="F9" s="7"/>
      <c r="G9" s="7"/>
      <c r="H9" s="7"/>
      <c r="I9" s="7"/>
      <c r="J9" s="7"/>
      <c r="K9" s="7"/>
      <c r="L9" s="7"/>
      <c r="M9" s="7"/>
      <c r="N9" s="4">
        <f t="shared" si="7"/>
        <v>6</v>
      </c>
      <c r="O9" s="8">
        <f t="shared" si="0"/>
        <v>38</v>
      </c>
      <c r="P9" s="8">
        <f t="shared" si="8"/>
        <v>4800000</v>
      </c>
      <c r="Q9" s="8">
        <f t="shared" si="1"/>
        <v>-3396000</v>
      </c>
      <c r="R9" s="8">
        <f t="shared" si="9"/>
        <v>-1283333.3333333335</v>
      </c>
      <c r="S9" s="8">
        <f t="shared" si="2"/>
        <v>120666.66666666651</v>
      </c>
      <c r="T9" s="38">
        <f t="shared" si="14"/>
        <v>3090666.666666666</v>
      </c>
      <c r="U9" s="8">
        <f t="shared" si="3"/>
        <v>8009428.5698525868</v>
      </c>
      <c r="V9" s="8">
        <f t="shared" si="10"/>
        <v>4199963.3684480004</v>
      </c>
      <c r="W9" s="8">
        <f t="shared" si="4"/>
        <v>4918761.9031859208</v>
      </c>
      <c r="X9" s="8">
        <f t="shared" si="5"/>
        <v>540000</v>
      </c>
      <c r="Y9" s="8">
        <f t="shared" si="6"/>
        <v>178798.53473792001</v>
      </c>
      <c r="Z9" s="8">
        <f t="shared" si="11"/>
        <v>3240000</v>
      </c>
      <c r="AA9" s="7">
        <f t="shared" si="12"/>
        <v>8</v>
      </c>
      <c r="AB9" s="7">
        <f t="shared" si="13"/>
        <v>4</v>
      </c>
      <c r="AC9" s="4" t="str">
        <f t="shared" si="15"/>
        <v>-</v>
      </c>
      <c r="AD9" s="4" t="str">
        <f t="shared" si="16"/>
        <v>-</v>
      </c>
      <c r="AE9" s="36">
        <f>IF(AND(AA9&gt;=4,AA9&lt;=6),$E$56,0)+IF(AND(AA9&gt;=7,AA9&lt;=12),$E$57,0)+IF(AND(AA9&gt;=13,AA9&lt;=15),$E$58,0)+IF(AND(AA9&gt;=16,AA9&lt;=18),$E$59,0)+IF(AND(AA9&gt;=19,AA9&lt;=22),$E$60,0)+IF(AND(AA9&gt;=23,AA9&lt;=24),$E$61,0)+IF(AA9=$B$47,$B$48,0)</f>
        <v>650000</v>
      </c>
      <c r="AF9" s="36">
        <f>IF(AND(AB9&gt;=4,AB9&lt;=6),$E$65,0)+IF(AND(AB9&gt;=7,AB9&lt;=12),$E$66,0)+IF(AND(AB9&gt;=13,AB9&lt;=15),$E$67,0)+IF(AND(AB9&gt;=16,AB9&lt;=18),$E$68,0)+IF(AND(AB9&gt;=19,AB9&lt;=22),$E$69,0)+IF(AND(AB9&gt;=23,AB9&lt;=24),$E$70,0)+IF(AB9=$B$47,$B$48,0)</f>
        <v>633333.33333333337</v>
      </c>
      <c r="AG9" s="36">
        <f>IF(AND(AC9&gt;=4,AC9&lt;=6),$E$74,0)+IF(AND(AC9&gt;=7,AC9&lt;=12),$E$75,0)+IF(AND(AC9&gt;=13,AC9&lt;=15),$E$76,0)+IF(AND(AC9&gt;=16,AC9&lt;=18),$E$77,0)+IF(AND(AC9&gt;=19,AC9&lt;=22),$E$78,0)+IF(AND(AC9&gt;=23,AC9&lt;=24),$E$79,0)+IF(AC9=$B$47,$B$48,0)</f>
        <v>0</v>
      </c>
      <c r="AH9" s="36">
        <f>IF(AND(AD9&gt;=4,AD9&lt;=6),$E$83,0)+IF(AND(AD9&gt;=7,AD9&lt;=12),$E$84,0)+IF(AND(AD9&gt;=13,AD9&lt;=15),$E$85,0)+IF(AND(AD9&gt;=16,AD9&lt;=18),$E$86,0)+IF(AND(AD9&gt;=19,AD9&lt;=22),$E$87,0)+IF(AND(AD9&gt;=23,AD9&lt;=24),$E$88,0)+IF(AD9=$B$47,$B$48,0)</f>
        <v>0</v>
      </c>
      <c r="AI9" s="7"/>
      <c r="AJ9" s="47"/>
      <c r="AK9" s="43" t="s">
        <v>78</v>
      </c>
      <c r="AL9" s="43" t="s">
        <v>79</v>
      </c>
      <c r="AM9" s="43" t="s">
        <v>80</v>
      </c>
      <c r="AN9" s="44"/>
      <c r="AO9" s="43" t="s">
        <v>76</v>
      </c>
      <c r="AP9" s="48" t="s">
        <v>78</v>
      </c>
    </row>
    <row r="10" spans="1:42" ht="16" customHeight="1">
      <c r="A10" s="62" t="s">
        <v>49</v>
      </c>
      <c r="B10" s="28">
        <v>65</v>
      </c>
      <c r="E10" s="2"/>
      <c r="F10" s="7"/>
      <c r="G10" s="7"/>
      <c r="H10" s="7"/>
      <c r="I10" s="7"/>
      <c r="J10" s="7"/>
      <c r="K10" s="7"/>
      <c r="L10" s="7"/>
      <c r="M10" s="7"/>
      <c r="N10" s="4">
        <f t="shared" si="7"/>
        <v>7</v>
      </c>
      <c r="O10" s="8">
        <f t="shared" si="0"/>
        <v>39</v>
      </c>
      <c r="P10" s="8">
        <f t="shared" si="8"/>
        <v>4800000</v>
      </c>
      <c r="Q10" s="8">
        <f t="shared" si="1"/>
        <v>-3396000</v>
      </c>
      <c r="R10" s="8">
        <f t="shared" si="9"/>
        <v>-1283333.3333333335</v>
      </c>
      <c r="S10" s="8">
        <f t="shared" si="2"/>
        <v>120666.66666666651</v>
      </c>
      <c r="T10" s="38">
        <f t="shared" si="14"/>
        <v>3211333.3333333326</v>
      </c>
      <c r="U10" s="8">
        <f t="shared" si="3"/>
        <v>8877645.7126466893</v>
      </c>
      <c r="V10" s="8">
        <f t="shared" si="10"/>
        <v>4918761.9031859208</v>
      </c>
      <c r="W10" s="8">
        <f t="shared" si="4"/>
        <v>5666312.3793133572</v>
      </c>
      <c r="X10" s="8">
        <f t="shared" si="5"/>
        <v>540000</v>
      </c>
      <c r="Y10" s="8">
        <f t="shared" si="6"/>
        <v>207550.47612743685</v>
      </c>
      <c r="Z10" s="8">
        <f t="shared" si="11"/>
        <v>3780000</v>
      </c>
      <c r="AA10" s="7">
        <f t="shared" si="12"/>
        <v>9</v>
      </c>
      <c r="AB10" s="7">
        <f t="shared" si="13"/>
        <v>5</v>
      </c>
      <c r="AC10" s="4" t="str">
        <f t="shared" si="15"/>
        <v>-</v>
      </c>
      <c r="AD10" s="4" t="str">
        <f t="shared" si="16"/>
        <v>-</v>
      </c>
      <c r="AE10" s="36">
        <f>IF(AND(AA10&gt;=4,AA10&lt;=6),$E$56,0)+IF(AND(AA10&gt;=7,AA10&lt;=12),$E$57,0)+IF(AND(AA10&gt;=13,AA10&lt;=15),$E$58,0)+IF(AND(AA10&gt;=16,AA10&lt;=18),$E$59,0)+IF(AND(AA10&gt;=19,AA10&lt;=22),$E$60,0)+IF(AND(AA10&gt;=23,AA10&lt;=24),$E$61,0)+IF(AA10=$B$47,$B$48,0)</f>
        <v>650000</v>
      </c>
      <c r="AF10" s="36">
        <f>IF(AND(AB10&gt;=4,AB10&lt;=6),$E$65,0)+IF(AND(AB10&gt;=7,AB10&lt;=12),$E$66,0)+IF(AND(AB10&gt;=13,AB10&lt;=15),$E$67,0)+IF(AND(AB10&gt;=16,AB10&lt;=18),$E$68,0)+IF(AND(AB10&gt;=19,AB10&lt;=22),$E$69,0)+IF(AND(AB10&gt;=23,AB10&lt;=24),$E$70,0)+IF(AB10=$B$47,$B$48,0)</f>
        <v>633333.33333333337</v>
      </c>
      <c r="AG10" s="36">
        <f>IF(AND(AC10&gt;=4,AC10&lt;=6),$E$74,0)+IF(AND(AC10&gt;=7,AC10&lt;=12),$E$75,0)+IF(AND(AC10&gt;=13,AC10&lt;=15),$E$76,0)+IF(AND(AC10&gt;=16,AC10&lt;=18),$E$77,0)+IF(AND(AC10&gt;=19,AC10&lt;=22),$E$78,0)+IF(AND(AC10&gt;=23,AC10&lt;=24),$E$79,0)+IF(AC10=$B$47,$B$48,0)</f>
        <v>0</v>
      </c>
      <c r="AH10" s="36">
        <f>IF(AND(AD10&gt;=4,AD10&lt;=6),$E$83,0)+IF(AND(AD10&gt;=7,AD10&lt;=12),$E$84,0)+IF(AND(AD10&gt;=13,AD10&lt;=15),$E$85,0)+IF(AND(AD10&gt;=16,AD10&lt;=18),$E$86,0)+IF(AND(AD10&gt;=19,AD10&lt;=22),$E$87,0)+IF(AND(AD10&gt;=23,AD10&lt;=24),$E$88,0)+IF(AD10=$B$47,$B$48,0)</f>
        <v>0</v>
      </c>
      <c r="AI10" s="7"/>
      <c r="AJ10" s="46" t="s">
        <v>74</v>
      </c>
      <c r="AK10" s="43">
        <v>390</v>
      </c>
      <c r="AL10" s="43">
        <v>540</v>
      </c>
      <c r="AM10" s="44">
        <v>240</v>
      </c>
      <c r="AN10" s="44"/>
      <c r="AO10" s="43" t="s">
        <v>77</v>
      </c>
      <c r="AP10" s="48" t="s">
        <v>79</v>
      </c>
    </row>
    <row r="11" spans="1:42" ht="16" customHeight="1">
      <c r="A11" s="62" t="s">
        <v>24</v>
      </c>
      <c r="B11" s="28">
        <v>65</v>
      </c>
      <c r="E11" s="2"/>
      <c r="F11" s="7"/>
      <c r="G11" s="7"/>
      <c r="H11" s="7"/>
      <c r="I11" s="7"/>
      <c r="J11" s="7"/>
      <c r="K11" s="7"/>
      <c r="L11" s="7"/>
      <c r="M11" s="7"/>
      <c r="N11" s="4">
        <f t="shared" si="7"/>
        <v>8</v>
      </c>
      <c r="O11" s="8">
        <f t="shared" si="0"/>
        <v>40</v>
      </c>
      <c r="P11" s="8">
        <f t="shared" si="8"/>
        <v>4800000</v>
      </c>
      <c r="Q11" s="8">
        <f t="shared" si="1"/>
        <v>-3396000</v>
      </c>
      <c r="R11" s="8">
        <f t="shared" si="9"/>
        <v>-1283333.3333333335</v>
      </c>
      <c r="S11" s="8">
        <f t="shared" si="2"/>
        <v>120666.66666666651</v>
      </c>
      <c r="T11" s="38">
        <f t="shared" si="14"/>
        <v>3331999.9999999991</v>
      </c>
      <c r="U11" s="8">
        <f t="shared" si="3"/>
        <v>9775764.8744858913</v>
      </c>
      <c r="V11" s="8">
        <f t="shared" si="10"/>
        <v>5666312.3793133572</v>
      </c>
      <c r="W11" s="8">
        <f t="shared" si="4"/>
        <v>6443764.8744858913</v>
      </c>
      <c r="X11" s="8">
        <f t="shared" si="5"/>
        <v>540000</v>
      </c>
      <c r="Y11" s="8">
        <f t="shared" si="6"/>
        <v>237452.49517253428</v>
      </c>
      <c r="Z11" s="8">
        <f t="shared" si="11"/>
        <v>4320000</v>
      </c>
      <c r="AA11" s="7">
        <f t="shared" si="12"/>
        <v>10</v>
      </c>
      <c r="AB11" s="7">
        <f t="shared" si="13"/>
        <v>6</v>
      </c>
      <c r="AC11" s="4" t="str">
        <f t="shared" si="15"/>
        <v>-</v>
      </c>
      <c r="AD11" s="4" t="str">
        <f t="shared" si="16"/>
        <v>-</v>
      </c>
      <c r="AE11" s="36">
        <f>IF(AND(AA11&gt;=4,AA11&lt;=6),$E$56,0)+IF(AND(AA11&gt;=7,AA11&lt;=12),$E$57,0)+IF(AND(AA11&gt;=13,AA11&lt;=15),$E$58,0)+IF(AND(AA11&gt;=16,AA11&lt;=18),$E$59,0)+IF(AND(AA11&gt;=19,AA11&lt;=22),$E$60,0)+IF(AND(AA11&gt;=23,AA11&lt;=24),$E$61,0)+IF(AA11=$B$47,$B$48,0)</f>
        <v>650000</v>
      </c>
      <c r="AF11" s="36">
        <f>IF(AND(AB11&gt;=4,AB11&lt;=6),$E$65,0)+IF(AND(AB11&gt;=7,AB11&lt;=12),$E$66,0)+IF(AND(AB11&gt;=13,AB11&lt;=15),$E$67,0)+IF(AND(AB11&gt;=16,AB11&lt;=18),$E$68,0)+IF(AND(AB11&gt;=19,AB11&lt;=22),$E$69,0)+IF(AND(AB11&gt;=23,AB11&lt;=24),$E$70,0)+IF(AB11=$B$47,$B$48,0)</f>
        <v>633333.33333333337</v>
      </c>
      <c r="AG11" s="36">
        <f>IF(AND(AC11&gt;=4,AC11&lt;=6),$E$74,0)+IF(AND(AC11&gt;=7,AC11&lt;=12),$E$75,0)+IF(AND(AC11&gt;=13,AC11&lt;=15),$E$76,0)+IF(AND(AC11&gt;=16,AC11&lt;=18),$E$77,0)+IF(AND(AC11&gt;=19,AC11&lt;=22),$E$78,0)+IF(AND(AC11&gt;=23,AC11&lt;=24),$E$79,0)+IF(AC11=$B$47,$B$48,0)</f>
        <v>0</v>
      </c>
      <c r="AH11" s="36">
        <f>IF(AND(AD11&gt;=4,AD11&lt;=6),$E$83,0)+IF(AND(AD11&gt;=7,AD11&lt;=12),$E$84,0)+IF(AND(AD11&gt;=13,AD11&lt;=15),$E$85,0)+IF(AND(AD11&gt;=16,AD11&lt;=18),$E$86,0)+IF(AND(AD11&gt;=19,AD11&lt;=22),$E$87,0)+IF(AND(AD11&gt;=23,AD11&lt;=24),$E$88,0)+IF(AD11=$B$47,$B$48,0)</f>
        <v>0</v>
      </c>
      <c r="AI11" s="7"/>
      <c r="AJ11" s="46" t="s">
        <v>75</v>
      </c>
      <c r="AK11" s="43">
        <f>AK10/2</f>
        <v>195</v>
      </c>
      <c r="AL11" s="43">
        <f>AL10/2</f>
        <v>270</v>
      </c>
      <c r="AM11" s="43">
        <f>AM10/2</f>
        <v>120</v>
      </c>
      <c r="AN11" s="44"/>
      <c r="AO11" s="43"/>
      <c r="AP11" s="48" t="s">
        <v>80</v>
      </c>
    </row>
    <row r="12" spans="1:42" ht="16" customHeight="1">
      <c r="A12" s="62" t="s">
        <v>25</v>
      </c>
      <c r="B12" s="28" t="s">
        <v>53</v>
      </c>
      <c r="E12">
        <f>IF(B12=AJ15,AM15,0)</f>
        <v>1</v>
      </c>
      <c r="N12" s="4">
        <f t="shared" si="7"/>
        <v>9</v>
      </c>
      <c r="O12" s="8">
        <f t="shared" si="0"/>
        <v>41</v>
      </c>
      <c r="P12" s="8">
        <f t="shared" si="8"/>
        <v>4800000</v>
      </c>
      <c r="Q12" s="8">
        <f t="shared" si="1"/>
        <v>-3396000</v>
      </c>
      <c r="R12" s="8">
        <f t="shared" si="9"/>
        <v>-1300000</v>
      </c>
      <c r="S12" s="8">
        <f t="shared" si="2"/>
        <v>104000</v>
      </c>
      <c r="T12" s="38">
        <f t="shared" si="14"/>
        <v>3435999.9999999991</v>
      </c>
      <c r="U12" s="8">
        <f t="shared" si="3"/>
        <v>10688315.469465327</v>
      </c>
      <c r="V12" s="8">
        <f t="shared" si="10"/>
        <v>6443764.8744858913</v>
      </c>
      <c r="W12" s="8">
        <f t="shared" si="4"/>
        <v>7252315.4694653265</v>
      </c>
      <c r="X12" s="8">
        <f t="shared" si="5"/>
        <v>540000</v>
      </c>
      <c r="Y12" s="8">
        <f t="shared" si="6"/>
        <v>268550.59497943567</v>
      </c>
      <c r="Z12" s="8">
        <f t="shared" si="11"/>
        <v>4860000</v>
      </c>
      <c r="AA12" s="7">
        <f t="shared" si="12"/>
        <v>11</v>
      </c>
      <c r="AB12" s="7">
        <f t="shared" si="13"/>
        <v>7</v>
      </c>
      <c r="AC12" s="4" t="str">
        <f t="shared" si="15"/>
        <v>-</v>
      </c>
      <c r="AD12" s="4" t="str">
        <f t="shared" si="16"/>
        <v>-</v>
      </c>
      <c r="AE12" s="36">
        <f>IF(AND(AA12&gt;=4,AA12&lt;=6),$E$56,0)+IF(AND(AA12&gt;=7,AA12&lt;=12),$E$57,0)+IF(AND(AA12&gt;=13,AA12&lt;=15),$E$58,0)+IF(AND(AA12&gt;=16,AA12&lt;=18),$E$59,0)+IF(AND(AA12&gt;=19,AA12&lt;=22),$E$60,0)+IF(AND(AA12&gt;=23,AA12&lt;=24),$E$61,0)+IF(AA12=$B$47,$B$48,0)</f>
        <v>650000</v>
      </c>
      <c r="AF12" s="36">
        <f>IF(AND(AB12&gt;=4,AB12&lt;=6),$E$65,0)+IF(AND(AB12&gt;=7,AB12&lt;=12),$E$66,0)+IF(AND(AB12&gt;=13,AB12&lt;=15),$E$67,0)+IF(AND(AB12&gt;=16,AB12&lt;=18),$E$68,0)+IF(AND(AB12&gt;=19,AB12&lt;=22),$E$69,0)+IF(AND(AB12&gt;=23,AB12&lt;=24),$E$70,0)+IF(AB12=$B$47,$B$48,0)</f>
        <v>650000</v>
      </c>
      <c r="AG12" s="36">
        <f>IF(AND(AC12&gt;=4,AC12&lt;=6),$E$74,0)+IF(AND(AC12&gt;=7,AC12&lt;=12),$E$75,0)+IF(AND(AC12&gt;=13,AC12&lt;=15),$E$76,0)+IF(AND(AC12&gt;=16,AC12&lt;=18),$E$77,0)+IF(AND(AC12&gt;=19,AC12&lt;=22),$E$78,0)+IF(AND(AC12&gt;=23,AC12&lt;=24),$E$79,0)+IF(AC12=$B$47,$B$48,0)</f>
        <v>0</v>
      </c>
      <c r="AH12" s="36">
        <f>IF(AND(AD12&gt;=4,AD12&lt;=6),$E$83,0)+IF(AND(AD12&gt;=7,AD12&lt;=12),$E$84,0)+IF(AND(AD12&gt;=13,AD12&lt;=15),$E$85,0)+IF(AND(AD12&gt;=16,AD12&lt;=18),$E$86,0)+IF(AND(AD12&gt;=19,AD12&lt;=22),$E$87,0)+IF(AND(AD12&gt;=23,AD12&lt;=24),$E$88,0)+IF(AD12=$B$47,$B$48,0)</f>
        <v>0</v>
      </c>
      <c r="AI12" s="7"/>
      <c r="AJ12" s="42"/>
      <c r="AK12" s="43"/>
      <c r="AL12" s="43"/>
      <c r="AM12" s="44"/>
      <c r="AN12" s="44"/>
      <c r="AO12" s="44"/>
      <c r="AP12" s="45"/>
    </row>
    <row r="13" spans="1:42" ht="16" customHeight="1">
      <c r="A13" s="62" t="s">
        <v>26</v>
      </c>
      <c r="B13" s="28" t="s">
        <v>55</v>
      </c>
      <c r="E13">
        <f>IF(B13=AK$15,AM$15,0)</f>
        <v>1</v>
      </c>
      <c r="N13" s="4">
        <f t="shared" si="7"/>
        <v>10</v>
      </c>
      <c r="O13" s="8">
        <f t="shared" si="0"/>
        <v>42</v>
      </c>
      <c r="P13" s="8">
        <f t="shared" si="8"/>
        <v>4800000</v>
      </c>
      <c r="Q13" s="8">
        <f t="shared" si="1"/>
        <v>-3396000</v>
      </c>
      <c r="R13" s="8">
        <f t="shared" si="9"/>
        <v>-1300000</v>
      </c>
      <c r="S13" s="8">
        <f t="shared" si="2"/>
        <v>104000</v>
      </c>
      <c r="T13" s="38">
        <f t="shared" si="14"/>
        <v>3539999.9999999991</v>
      </c>
      <c r="U13" s="8">
        <f t="shared" si="3"/>
        <v>11633208.088243939</v>
      </c>
      <c r="V13" s="8">
        <f t="shared" si="10"/>
        <v>7252315.4694653265</v>
      </c>
      <c r="W13" s="8">
        <f t="shared" si="4"/>
        <v>8093208.0882439399</v>
      </c>
      <c r="X13" s="8">
        <f t="shared" si="5"/>
        <v>540000</v>
      </c>
      <c r="Y13" s="8">
        <f t="shared" si="6"/>
        <v>300892.61877861305</v>
      </c>
      <c r="Z13" s="8">
        <f t="shared" si="11"/>
        <v>5400000</v>
      </c>
      <c r="AA13" s="7">
        <f t="shared" si="12"/>
        <v>12</v>
      </c>
      <c r="AB13" s="7">
        <f t="shared" si="13"/>
        <v>8</v>
      </c>
      <c r="AC13" s="4" t="str">
        <f t="shared" si="15"/>
        <v>-</v>
      </c>
      <c r="AD13" s="4" t="str">
        <f t="shared" si="16"/>
        <v>-</v>
      </c>
      <c r="AE13" s="36">
        <f>IF(AND(AA13&gt;=4,AA13&lt;=6),$E$56,0)+IF(AND(AA13&gt;=7,AA13&lt;=12),$E$57,0)+IF(AND(AA13&gt;=13,AA13&lt;=15),$E$58,0)+IF(AND(AA13&gt;=16,AA13&lt;=18),$E$59,0)+IF(AND(AA13&gt;=19,AA13&lt;=22),$E$60,0)+IF(AND(AA13&gt;=23,AA13&lt;=24),$E$61,0)+IF(AA13=$B$47,$B$48,0)</f>
        <v>650000</v>
      </c>
      <c r="AF13" s="36">
        <f>IF(AND(AB13&gt;=4,AB13&lt;=6),$E$65,0)+IF(AND(AB13&gt;=7,AB13&lt;=12),$E$66,0)+IF(AND(AB13&gt;=13,AB13&lt;=15),$E$67,0)+IF(AND(AB13&gt;=16,AB13&lt;=18),$E$68,0)+IF(AND(AB13&gt;=19,AB13&lt;=22),$E$69,0)+IF(AND(AB13&gt;=23,AB13&lt;=24),$E$70,0)+IF(AB13=$B$47,$B$48,0)</f>
        <v>650000</v>
      </c>
      <c r="AG13" s="36">
        <f>IF(AND(AC13&gt;=4,AC13&lt;=6),$E$74,0)+IF(AND(AC13&gt;=7,AC13&lt;=12),$E$75,0)+IF(AND(AC13&gt;=13,AC13&lt;=15),$E$76,0)+IF(AND(AC13&gt;=16,AC13&lt;=18),$E$77,0)+IF(AND(AC13&gt;=19,AC13&lt;=22),$E$78,0)+IF(AND(AC13&gt;=23,AC13&lt;=24),$E$79,0)+IF(AC13=$B$47,$B$48,0)</f>
        <v>0</v>
      </c>
      <c r="AH13" s="36">
        <f>IF(AND(AD13&gt;=4,AD13&lt;=6),$E$83,0)+IF(AND(AD13&gt;=7,AD13&lt;=12),$E$84,0)+IF(AND(AD13&gt;=13,AD13&lt;=15),$E$85,0)+IF(AND(AD13&gt;=16,AD13&lt;=18),$E$86,0)+IF(AND(AD13&gt;=19,AD13&lt;=22),$E$87,0)+IF(AND(AD13&gt;=23,AD13&lt;=24),$E$88,0)+IF(AD13=$B$47,$B$48,0)</f>
        <v>0</v>
      </c>
      <c r="AI13" s="7"/>
      <c r="AJ13" s="42"/>
      <c r="AK13" s="43"/>
      <c r="AL13" s="43"/>
      <c r="AM13" s="44"/>
      <c r="AN13" s="44"/>
      <c r="AO13" s="44"/>
      <c r="AP13" s="45"/>
    </row>
    <row r="14" spans="1:42" ht="16" customHeight="1">
      <c r="A14" s="63" t="s">
        <v>27</v>
      </c>
      <c r="B14" s="23">
        <v>5400000</v>
      </c>
      <c r="C14" s="2"/>
      <c r="E14" s="2"/>
      <c r="F14" s="7"/>
      <c r="G14" s="7"/>
      <c r="H14" s="7"/>
      <c r="I14" s="7"/>
      <c r="J14" s="7"/>
      <c r="K14" s="7"/>
      <c r="L14" s="7"/>
      <c r="M14" s="7"/>
      <c r="N14" s="4">
        <f t="shared" si="7"/>
        <v>11</v>
      </c>
      <c r="O14" s="8">
        <f t="shared" si="0"/>
        <v>43</v>
      </c>
      <c r="P14" s="8">
        <f t="shared" si="8"/>
        <v>4800000</v>
      </c>
      <c r="Q14" s="8">
        <f t="shared" si="1"/>
        <v>-3396000</v>
      </c>
      <c r="R14" s="8">
        <f t="shared" si="9"/>
        <v>-1616666.6666666667</v>
      </c>
      <c r="S14" s="8">
        <f t="shared" si="2"/>
        <v>-212666.66666666674</v>
      </c>
      <c r="T14" s="38">
        <f t="shared" si="14"/>
        <v>3327333.3333333321</v>
      </c>
      <c r="U14" s="8">
        <f t="shared" si="3"/>
        <v>12295069.745107029</v>
      </c>
      <c r="V14" s="8">
        <f t="shared" si="10"/>
        <v>8093208.0882439399</v>
      </c>
      <c r="W14" s="8">
        <f t="shared" si="4"/>
        <v>8967736.4117736965</v>
      </c>
      <c r="X14" s="8">
        <f t="shared" si="5"/>
        <v>540000</v>
      </c>
      <c r="Y14" s="8">
        <f t="shared" si="6"/>
        <v>334528.32352975762</v>
      </c>
      <c r="Z14" s="8">
        <f t="shared" si="11"/>
        <v>5940000</v>
      </c>
      <c r="AA14" s="7">
        <f t="shared" si="12"/>
        <v>13</v>
      </c>
      <c r="AB14" s="7">
        <f t="shared" si="13"/>
        <v>9</v>
      </c>
      <c r="AC14" s="4" t="str">
        <f t="shared" si="15"/>
        <v>-</v>
      </c>
      <c r="AD14" s="4" t="str">
        <f t="shared" si="16"/>
        <v>-</v>
      </c>
      <c r="AE14" s="36">
        <f>IF(AND(AA14&gt;=4,AA14&lt;=6),$E$56,0)+IF(AND(AA14&gt;=7,AA14&lt;=12),$E$57,0)+IF(AND(AA14&gt;=13,AA14&lt;=15),$E$58,0)+IF(AND(AA14&gt;=16,AA14&lt;=18),$E$59,0)+IF(AND(AA14&gt;=19,AA14&lt;=22),$E$60,0)+IF(AND(AA14&gt;=23,AA14&lt;=24),$E$61,0)+IF(AA14=$B$47,$B$48,0)</f>
        <v>966666.66666666674</v>
      </c>
      <c r="AF14" s="36">
        <f>IF(AND(AB14&gt;=4,AB14&lt;=6),$E$65,0)+IF(AND(AB14&gt;=7,AB14&lt;=12),$E$66,0)+IF(AND(AB14&gt;=13,AB14&lt;=15),$E$67,0)+IF(AND(AB14&gt;=16,AB14&lt;=18),$E$68,0)+IF(AND(AB14&gt;=19,AB14&lt;=22),$E$69,0)+IF(AND(AB14&gt;=23,AB14&lt;=24),$E$70,0)+IF(AB14=$B$47,$B$48,0)</f>
        <v>650000</v>
      </c>
      <c r="AG14" s="36">
        <f>IF(AND(AC14&gt;=4,AC14&lt;=6),$E$74,0)+IF(AND(AC14&gt;=7,AC14&lt;=12),$E$75,0)+IF(AND(AC14&gt;=13,AC14&lt;=15),$E$76,0)+IF(AND(AC14&gt;=16,AC14&lt;=18),$E$77,0)+IF(AND(AC14&gt;=19,AC14&lt;=22),$E$78,0)+IF(AND(AC14&gt;=23,AC14&lt;=24),$E$79,0)+IF(AC14=$B$47,$B$48,0)</f>
        <v>0</v>
      </c>
      <c r="AH14" s="36">
        <f>IF(AND(AD14&gt;=4,AD14&lt;=6),$E$83,0)+IF(AND(AD14&gt;=7,AD14&lt;=12),$E$84,0)+IF(AND(AD14&gt;=13,AD14&lt;=15),$E$85,0)+IF(AND(AD14&gt;=16,AD14&lt;=18),$E$86,0)+IF(AND(AD14&gt;=19,AD14&lt;=22),$E$87,0)+IF(AND(AD14&gt;=23,AD14&lt;=24),$E$88,0)+IF(AD14=$B$47,$B$48,0)</f>
        <v>0</v>
      </c>
      <c r="AI14" s="7"/>
      <c r="AJ14" s="47"/>
      <c r="AK14" s="44"/>
      <c r="AL14" s="43"/>
      <c r="AM14" s="43"/>
      <c r="AN14" s="43"/>
      <c r="AO14" s="44"/>
      <c r="AP14" s="45"/>
    </row>
    <row r="15" spans="1:42" ht="16" customHeight="1">
      <c r="A15" s="63" t="s">
        <v>58</v>
      </c>
      <c r="B15" s="23">
        <v>600000</v>
      </c>
      <c r="C15" s="2"/>
      <c r="E15" s="2"/>
      <c r="F15" s="7"/>
      <c r="G15" s="7"/>
      <c r="H15" s="7"/>
      <c r="I15" s="7"/>
      <c r="J15" s="7"/>
      <c r="K15" s="7"/>
      <c r="L15" s="7"/>
      <c r="M15" s="7"/>
      <c r="N15" s="4">
        <f t="shared" si="7"/>
        <v>12</v>
      </c>
      <c r="O15" s="8">
        <f t="shared" si="0"/>
        <v>44</v>
      </c>
      <c r="P15" s="8">
        <f t="shared" si="8"/>
        <v>4800000</v>
      </c>
      <c r="Q15" s="8">
        <f t="shared" si="1"/>
        <v>-3396000</v>
      </c>
      <c r="R15" s="8">
        <f t="shared" si="9"/>
        <v>-1616666.6666666667</v>
      </c>
      <c r="S15" s="8">
        <f t="shared" si="2"/>
        <v>-212666.66666666674</v>
      </c>
      <c r="T15" s="38">
        <f t="shared" si="14"/>
        <v>3114666.6666666651</v>
      </c>
      <c r="U15" s="8">
        <f t="shared" si="3"/>
        <v>12991912.534911308</v>
      </c>
      <c r="V15" s="8">
        <f t="shared" si="10"/>
        <v>8967736.4117736965</v>
      </c>
      <c r="W15" s="8">
        <f t="shared" si="4"/>
        <v>9877245.8682446443</v>
      </c>
      <c r="X15" s="8">
        <f t="shared" si="5"/>
        <v>540000</v>
      </c>
      <c r="Y15" s="8">
        <f t="shared" si="6"/>
        <v>369509.45647094789</v>
      </c>
      <c r="Z15" s="8">
        <f t="shared" si="11"/>
        <v>6480000</v>
      </c>
      <c r="AA15" s="7">
        <f t="shared" si="12"/>
        <v>14</v>
      </c>
      <c r="AB15" s="7">
        <f t="shared" si="13"/>
        <v>10</v>
      </c>
      <c r="AC15" s="4" t="str">
        <f t="shared" si="15"/>
        <v>-</v>
      </c>
      <c r="AD15" s="4" t="str">
        <f t="shared" si="16"/>
        <v>-</v>
      </c>
      <c r="AE15" s="36">
        <f>IF(AND(AA15&gt;=4,AA15&lt;=6),$E$56,0)+IF(AND(AA15&gt;=7,AA15&lt;=12),$E$57,0)+IF(AND(AA15&gt;=13,AA15&lt;=15),$E$58,0)+IF(AND(AA15&gt;=16,AA15&lt;=18),$E$59,0)+IF(AND(AA15&gt;=19,AA15&lt;=22),$E$60,0)+IF(AND(AA15&gt;=23,AA15&lt;=24),$E$61,0)+IF(AA15=$B$47,$B$48,0)</f>
        <v>966666.66666666674</v>
      </c>
      <c r="AF15" s="36">
        <f>IF(AND(AB15&gt;=4,AB15&lt;=6),$E$65,0)+IF(AND(AB15&gt;=7,AB15&lt;=12),$E$66,0)+IF(AND(AB15&gt;=13,AB15&lt;=15),$E$67,0)+IF(AND(AB15&gt;=16,AB15&lt;=18),$E$68,0)+IF(AND(AB15&gt;=19,AB15&lt;=22),$E$69,0)+IF(AND(AB15&gt;=23,AB15&lt;=24),$E$70,0)+IF(AB15=$B$47,$B$48,0)</f>
        <v>650000</v>
      </c>
      <c r="AG15" s="36">
        <f>IF(AND(AC15&gt;=4,AC15&lt;=6),$E$74,0)+IF(AND(AC15&gt;=7,AC15&lt;=12),$E$75,0)+IF(AND(AC15&gt;=13,AC15&lt;=15),$E$76,0)+IF(AND(AC15&gt;=16,AC15&lt;=18),$E$77,0)+IF(AND(AC15&gt;=19,AC15&lt;=22),$E$78,0)+IF(AND(AC15&gt;=23,AC15&lt;=24),$E$79,0)+IF(AC15=$B$47,$B$48,0)</f>
        <v>0</v>
      </c>
      <c r="AH15" s="36">
        <f>IF(AND(AD15&gt;=4,AD15&lt;=6),$E$83,0)+IF(AND(AD15&gt;=7,AD15&lt;=12),$E$84,0)+IF(AND(AD15&gt;=13,AD15&lt;=15),$E$85,0)+IF(AND(AD15&gt;=16,AD15&lt;=18),$E$86,0)+IF(AND(AD15&gt;=19,AD15&lt;=22),$E$87,0)+IF(AND(AD15&gt;=23,AD15&lt;=24),$E$88,0)+IF(AD15=$B$47,$B$48,0)</f>
        <v>0</v>
      </c>
      <c r="AI15" s="7"/>
      <c r="AJ15" s="46" t="s">
        <v>53</v>
      </c>
      <c r="AK15" s="49" t="s">
        <v>56</v>
      </c>
      <c r="AL15" s="43" t="s">
        <v>33</v>
      </c>
      <c r="AM15" s="44">
        <v>1</v>
      </c>
      <c r="AN15" s="44"/>
      <c r="AO15" s="44"/>
      <c r="AP15" s="45"/>
    </row>
    <row r="16" spans="1:42" ht="16" customHeight="1">
      <c r="A16" s="63" t="s">
        <v>121</v>
      </c>
      <c r="B16" s="23">
        <f>B14+B15</f>
        <v>6000000</v>
      </c>
      <c r="C16" s="7"/>
      <c r="E16" s="7"/>
      <c r="F16" s="7"/>
      <c r="G16" s="7"/>
      <c r="H16" s="7"/>
      <c r="I16" s="7"/>
      <c r="J16" s="7"/>
      <c r="K16" s="7"/>
      <c r="L16" s="7"/>
      <c r="M16" s="7"/>
      <c r="N16" s="4">
        <f t="shared" si="7"/>
        <v>13</v>
      </c>
      <c r="O16" s="8">
        <f t="shared" si="0"/>
        <v>45</v>
      </c>
      <c r="P16" s="8">
        <f t="shared" si="8"/>
        <v>4800000</v>
      </c>
      <c r="Q16" s="8">
        <f t="shared" si="1"/>
        <v>-3396000</v>
      </c>
      <c r="R16" s="8">
        <f t="shared" si="9"/>
        <v>-1616666.6666666667</v>
      </c>
      <c r="S16" s="8">
        <f t="shared" si="2"/>
        <v>-212666.66666666674</v>
      </c>
      <c r="T16" s="38">
        <f t="shared" si="14"/>
        <v>2901999.9999999981</v>
      </c>
      <c r="U16" s="8">
        <f t="shared" si="3"/>
        <v>13725135.702974427</v>
      </c>
      <c r="V16" s="8">
        <f t="shared" si="10"/>
        <v>9877245.8682446443</v>
      </c>
      <c r="W16" s="8">
        <f t="shared" si="4"/>
        <v>10823135.702974429</v>
      </c>
      <c r="X16" s="8">
        <f t="shared" si="5"/>
        <v>540000</v>
      </c>
      <c r="Y16" s="8">
        <f t="shared" si="6"/>
        <v>405889.8347297858</v>
      </c>
      <c r="Z16" s="8">
        <f t="shared" si="11"/>
        <v>7020000</v>
      </c>
      <c r="AA16" s="7">
        <f t="shared" si="12"/>
        <v>15</v>
      </c>
      <c r="AB16" s="7">
        <f t="shared" si="13"/>
        <v>11</v>
      </c>
      <c r="AC16" s="4" t="str">
        <f t="shared" si="15"/>
        <v>-</v>
      </c>
      <c r="AD16" s="4" t="str">
        <f t="shared" si="16"/>
        <v>-</v>
      </c>
      <c r="AE16" s="36">
        <f>IF(AND(AA16&gt;=4,AA16&lt;=6),$E$56,0)+IF(AND(AA16&gt;=7,AA16&lt;=12),$E$57,0)+IF(AND(AA16&gt;=13,AA16&lt;=15),$E$58,0)+IF(AND(AA16&gt;=16,AA16&lt;=18),$E$59,0)+IF(AND(AA16&gt;=19,AA16&lt;=22),$E$60,0)+IF(AND(AA16&gt;=23,AA16&lt;=24),$E$61,0)+IF(AA16=$B$47,$B$48,0)</f>
        <v>966666.66666666674</v>
      </c>
      <c r="AF16" s="36">
        <f>IF(AND(AB16&gt;=4,AB16&lt;=6),$E$65,0)+IF(AND(AB16&gt;=7,AB16&lt;=12),$E$66,0)+IF(AND(AB16&gt;=13,AB16&lt;=15),$E$67,0)+IF(AND(AB16&gt;=16,AB16&lt;=18),$E$68,0)+IF(AND(AB16&gt;=19,AB16&lt;=22),$E$69,0)+IF(AND(AB16&gt;=23,AB16&lt;=24),$E$70,0)+IF(AB16=$B$47,$B$48,0)</f>
        <v>650000</v>
      </c>
      <c r="AG16" s="36">
        <f>IF(AND(AC16&gt;=4,AC16&lt;=6),$E$74,0)+IF(AND(AC16&gt;=7,AC16&lt;=12),$E$75,0)+IF(AND(AC16&gt;=13,AC16&lt;=15),$E$76,0)+IF(AND(AC16&gt;=16,AC16&lt;=18),$E$77,0)+IF(AND(AC16&gt;=19,AC16&lt;=22),$E$78,0)+IF(AND(AC16&gt;=23,AC16&lt;=24),$E$79,0)+IF(AC16=$B$47,$B$48,0)</f>
        <v>0</v>
      </c>
      <c r="AH16" s="36">
        <f>IF(AND(AD16&gt;=4,AD16&lt;=6),$E$83,0)+IF(AND(AD16&gt;=7,AD16&lt;=12),$E$84,0)+IF(AND(AD16&gt;=13,AD16&lt;=15),$E$85,0)+IF(AND(AD16&gt;=16,AD16&lt;=18),$E$86,0)+IF(AND(AD16&gt;=19,AD16&lt;=22),$E$87,0)+IF(AND(AD16&gt;=23,AD16&lt;=24),$E$88,0)+IF(AD16=$B$47,$B$48,0)</f>
        <v>0</v>
      </c>
      <c r="AI16" s="39"/>
      <c r="AJ16" s="50" t="s">
        <v>54</v>
      </c>
      <c r="AK16" s="51" t="s">
        <v>57</v>
      </c>
      <c r="AL16" s="52" t="s">
        <v>34</v>
      </c>
      <c r="AM16" s="53">
        <v>0</v>
      </c>
      <c r="AN16" s="53"/>
      <c r="AO16" s="53"/>
      <c r="AP16" s="54"/>
    </row>
    <row r="17" spans="1:39" ht="16" customHeight="1">
      <c r="A17" s="63" t="s">
        <v>90</v>
      </c>
      <c r="B17" s="25">
        <f>(B10-20)*(E13+1)*D17/40/12*(1+IF(B11&lt;65,0.024*(B11-65),0.084*(B11-65)))</f>
        <v>147937.5</v>
      </c>
      <c r="C17" s="7" t="s">
        <v>95</v>
      </c>
      <c r="D17">
        <v>789000</v>
      </c>
      <c r="E17" s="7"/>
      <c r="F17" s="7"/>
      <c r="G17" s="7"/>
      <c r="H17" s="7"/>
      <c r="I17" s="7"/>
      <c r="J17" s="7"/>
      <c r="K17" s="7"/>
      <c r="L17" s="7"/>
      <c r="M17" s="7"/>
      <c r="N17" s="4">
        <f t="shared" si="7"/>
        <v>14</v>
      </c>
      <c r="O17" s="8">
        <f t="shared" si="0"/>
        <v>46</v>
      </c>
      <c r="P17" s="8">
        <f t="shared" si="8"/>
        <v>4800000</v>
      </c>
      <c r="Q17" s="8">
        <f t="shared" si="1"/>
        <v>-3396000</v>
      </c>
      <c r="R17" s="8">
        <f t="shared" si="9"/>
        <v>-2550000</v>
      </c>
      <c r="S17" s="8">
        <f t="shared" si="2"/>
        <v>-1146000</v>
      </c>
      <c r="T17" s="38">
        <f t="shared" si="14"/>
        <v>1755999.9999999981</v>
      </c>
      <c r="U17" s="8">
        <f t="shared" si="3"/>
        <v>13562861.131093405</v>
      </c>
      <c r="V17" s="8">
        <f t="shared" si="10"/>
        <v>10823135.702974429</v>
      </c>
      <c r="W17" s="8">
        <f t="shared" si="4"/>
        <v>11806861.131093407</v>
      </c>
      <c r="X17" s="8">
        <f t="shared" si="5"/>
        <v>540000</v>
      </c>
      <c r="Y17" s="8">
        <f t="shared" si="6"/>
        <v>443725.42811897717</v>
      </c>
      <c r="Z17" s="8">
        <f t="shared" si="11"/>
        <v>7560000</v>
      </c>
      <c r="AA17" s="7">
        <f t="shared" si="12"/>
        <v>16</v>
      </c>
      <c r="AB17" s="7">
        <f t="shared" si="13"/>
        <v>12</v>
      </c>
      <c r="AC17" s="4" t="str">
        <f t="shared" si="15"/>
        <v>-</v>
      </c>
      <c r="AD17" s="4" t="str">
        <f t="shared" si="16"/>
        <v>-</v>
      </c>
      <c r="AE17" s="36">
        <f>IF(AND(AA17&gt;=4,AA17&lt;=6),$E$56,0)+IF(AND(AA17&gt;=7,AA17&lt;=12),$E$57,0)+IF(AND(AA17&gt;=13,AA17&lt;=15),$E$58,0)+IF(AND(AA17&gt;=16,AA17&lt;=18),$E$59,0)+IF(AND(AA17&gt;=19,AA17&lt;=22),$E$60,0)+IF(AND(AA17&gt;=23,AA17&lt;=24),$E$61,0)+IF(AA17=$B$47,$B$48,0)</f>
        <v>1900000</v>
      </c>
      <c r="AF17" s="36">
        <f>IF(AND(AB17&gt;=4,AB17&lt;=6),$E$65,0)+IF(AND(AB17&gt;=7,AB17&lt;=12),$E$66,0)+IF(AND(AB17&gt;=13,AB17&lt;=15),$E$67,0)+IF(AND(AB17&gt;=16,AB17&lt;=18),$E$68,0)+IF(AND(AB17&gt;=19,AB17&lt;=22),$E$69,0)+IF(AND(AB17&gt;=23,AB17&lt;=24),$E$70,0)+IF(AB17=$B$47,$B$48,0)</f>
        <v>650000</v>
      </c>
      <c r="AG17" s="36">
        <f>IF(AND(AC17&gt;=4,AC17&lt;=6),$E$74,0)+IF(AND(AC17&gt;=7,AC17&lt;=12),$E$75,0)+IF(AND(AC17&gt;=13,AC17&lt;=15),$E$76,0)+IF(AND(AC17&gt;=16,AC17&lt;=18),$E$77,0)+IF(AND(AC17&gt;=19,AC17&lt;=22),$E$78,0)+IF(AND(AC17&gt;=23,AC17&lt;=24),$E$79,0)+IF(AC17=$B$47,$B$48,0)</f>
        <v>0</v>
      </c>
      <c r="AH17" s="36">
        <f>IF(AND(AD17&gt;=4,AD17&lt;=6),$E$83,0)+IF(AND(AD17&gt;=7,AD17&lt;=12),$E$84,0)+IF(AND(AD17&gt;=13,AD17&lt;=15),$E$85,0)+IF(AND(AD17&gt;=16,AD17&lt;=18),$E$86,0)+IF(AND(AD17&gt;=19,AD17&lt;=22),$E$87,0)+IF(AND(AD17&gt;=23,AD17&lt;=24),$E$88,0)+IF(AD17=$B$47,$B$48,0)</f>
        <v>0</v>
      </c>
      <c r="AI17" s="35"/>
      <c r="AJ17" s="2"/>
      <c r="AM17" s="2"/>
    </row>
    <row r="18" spans="1:39" ht="16" customHeight="1">
      <c r="A18" s="63" t="s">
        <v>91</v>
      </c>
      <c r="B18" s="25">
        <f ca="1">(D8*12*7.125/1000+D9*12*5.481/1000)*B14/12*(1+IF(B11&lt;65,0.024*(B11-65),0.084*(B11-65)))*E12/12</f>
        <v>103590.90000000001</v>
      </c>
      <c r="C18" s="7"/>
      <c r="E18" s="7"/>
      <c r="F18" s="7"/>
      <c r="G18" s="7"/>
      <c r="H18" s="7"/>
      <c r="I18" s="7"/>
      <c r="J18" s="7"/>
      <c r="K18" s="7"/>
      <c r="L18" s="7"/>
      <c r="M18" s="7"/>
      <c r="N18" s="4">
        <f t="shared" si="7"/>
        <v>15</v>
      </c>
      <c r="O18" s="8">
        <f t="shared" si="0"/>
        <v>47</v>
      </c>
      <c r="P18" s="8">
        <f t="shared" si="8"/>
        <v>4800000</v>
      </c>
      <c r="Q18" s="8">
        <f t="shared" si="1"/>
        <v>-3396000</v>
      </c>
      <c r="R18" s="8">
        <f t="shared" si="9"/>
        <v>-2866666.666666667</v>
      </c>
      <c r="S18" s="8">
        <f t="shared" si="2"/>
        <v>-1462666.666666667</v>
      </c>
      <c r="T18" s="38">
        <f t="shared" si="14"/>
        <v>293333.33333333116</v>
      </c>
      <c r="U18" s="8">
        <f t="shared" si="3"/>
        <v>13123268.909670476</v>
      </c>
      <c r="V18" s="8">
        <f t="shared" si="10"/>
        <v>11806861.131093407</v>
      </c>
      <c r="W18" s="8">
        <f t="shared" si="4"/>
        <v>12829935.576337144</v>
      </c>
      <c r="X18" s="8">
        <f t="shared" si="5"/>
        <v>540000</v>
      </c>
      <c r="Y18" s="8">
        <f t="shared" si="6"/>
        <v>483074.44524373626</v>
      </c>
      <c r="Z18" s="8">
        <f t="shared" si="11"/>
        <v>8100000</v>
      </c>
      <c r="AA18" s="7">
        <f t="shared" si="12"/>
        <v>17</v>
      </c>
      <c r="AB18" s="7">
        <f t="shared" si="13"/>
        <v>13</v>
      </c>
      <c r="AC18" s="4" t="str">
        <f t="shared" si="15"/>
        <v>-</v>
      </c>
      <c r="AD18" s="4" t="str">
        <f t="shared" si="16"/>
        <v>-</v>
      </c>
      <c r="AE18" s="36">
        <f>IF(AND(AA18&gt;=4,AA18&lt;=6),$E$56,0)+IF(AND(AA18&gt;=7,AA18&lt;=12),$E$57,0)+IF(AND(AA18&gt;=13,AA18&lt;=15),$E$58,0)+IF(AND(AA18&gt;=16,AA18&lt;=18),$E$59,0)+IF(AND(AA18&gt;=19,AA18&lt;=22),$E$60,0)+IF(AND(AA18&gt;=23,AA18&lt;=24),$E$61,0)+IF(AA18=$B$47,$B$48,0)</f>
        <v>1900000</v>
      </c>
      <c r="AF18" s="36">
        <f>IF(AND(AB18&gt;=4,AB18&lt;=6),$E$65,0)+IF(AND(AB18&gt;=7,AB18&lt;=12),$E$66,0)+IF(AND(AB18&gt;=13,AB18&lt;=15),$E$67,0)+IF(AND(AB18&gt;=16,AB18&lt;=18),$E$68,0)+IF(AND(AB18&gt;=19,AB18&lt;=22),$E$69,0)+IF(AND(AB18&gt;=23,AB18&lt;=24),$E$70,0)+IF(AB18=$B$47,$B$48,0)</f>
        <v>966666.66666666674</v>
      </c>
      <c r="AG18" s="36">
        <f>IF(AND(AC18&gt;=4,AC18&lt;=6),$E$74,0)+IF(AND(AC18&gt;=7,AC18&lt;=12),$E$75,0)+IF(AND(AC18&gt;=13,AC18&lt;=15),$E$76,0)+IF(AND(AC18&gt;=16,AC18&lt;=18),$E$77,0)+IF(AND(AC18&gt;=19,AC18&lt;=22),$E$78,0)+IF(AND(AC18&gt;=23,AC18&lt;=24),$E$79,0)+IF(AC18=$B$47,$B$48,0)</f>
        <v>0</v>
      </c>
      <c r="AH18" s="36">
        <f>IF(AND(AD18&gt;=4,AD18&lt;=6),$E$83,0)+IF(AND(AD18&gt;=7,AD18&lt;=12),$E$84,0)+IF(AND(AD18&gt;=13,AD18&lt;=15),$E$85,0)+IF(AND(AD18&gt;=16,AD18&lt;=18),$E$86,0)+IF(AND(AD18&gt;=19,AD18&lt;=22),$E$87,0)+IF(AND(AD18&gt;=23,AD18&lt;=24),$E$88,0)+IF(AD18=$B$47,$B$48,0)</f>
        <v>0</v>
      </c>
      <c r="AI18" s="4"/>
      <c r="AJ18" s="2"/>
      <c r="AM18" s="2"/>
    </row>
    <row r="19" spans="1:39" ht="16" customHeight="1">
      <c r="A19" s="63" t="s">
        <v>92</v>
      </c>
      <c r="B19" s="25">
        <f ca="1">SUM(B17:B18)</f>
        <v>251528.40000000002</v>
      </c>
      <c r="C19" s="7"/>
      <c r="E19" s="7"/>
      <c r="F19" s="7"/>
      <c r="G19" s="7"/>
      <c r="H19" s="7"/>
      <c r="I19" s="7"/>
      <c r="J19" s="7"/>
      <c r="K19" s="7"/>
      <c r="L19" s="7"/>
      <c r="M19" s="7"/>
      <c r="N19" s="4">
        <f t="shared" si="7"/>
        <v>16</v>
      </c>
      <c r="O19" s="8">
        <f t="shared" si="0"/>
        <v>48</v>
      </c>
      <c r="P19" s="8">
        <f t="shared" si="8"/>
        <v>4800000</v>
      </c>
      <c r="Q19" s="8">
        <f t="shared" si="1"/>
        <v>-3396000</v>
      </c>
      <c r="R19" s="8">
        <f t="shared" si="9"/>
        <v>-2866666.666666667</v>
      </c>
      <c r="S19" s="8">
        <f t="shared" si="2"/>
        <v>-1462666.666666667</v>
      </c>
      <c r="T19" s="38">
        <f t="shared" si="14"/>
        <v>-1169333.3333333358</v>
      </c>
      <c r="U19" s="8">
        <f t="shared" si="3"/>
        <v>12724599.666057294</v>
      </c>
      <c r="V19" s="8">
        <f t="shared" si="10"/>
        <v>12829935.576337144</v>
      </c>
      <c r="W19" s="8">
        <f t="shared" si="4"/>
        <v>13893932.99939063</v>
      </c>
      <c r="X19" s="8">
        <f t="shared" si="5"/>
        <v>540000</v>
      </c>
      <c r="Y19" s="8">
        <f t="shared" si="6"/>
        <v>523997.42305348575</v>
      </c>
      <c r="Z19" s="8">
        <f t="shared" si="11"/>
        <v>8640000</v>
      </c>
      <c r="AA19" s="7">
        <f t="shared" si="12"/>
        <v>18</v>
      </c>
      <c r="AB19" s="7">
        <f t="shared" si="13"/>
        <v>14</v>
      </c>
      <c r="AC19" s="4" t="str">
        <f t="shared" si="15"/>
        <v>-</v>
      </c>
      <c r="AD19" s="4" t="str">
        <f t="shared" si="16"/>
        <v>-</v>
      </c>
      <c r="AE19" s="36">
        <f>IF(AND(AA19&gt;=4,AA19&lt;=6),$E$56,0)+IF(AND(AA19&gt;=7,AA19&lt;=12),$E$57,0)+IF(AND(AA19&gt;=13,AA19&lt;=15),$E$58,0)+IF(AND(AA19&gt;=16,AA19&lt;=18),$E$59,0)+IF(AND(AA19&gt;=19,AA19&lt;=22),$E$60,0)+IF(AND(AA19&gt;=23,AA19&lt;=24),$E$61,0)+IF(AA19=$B$47,$B$48,0)</f>
        <v>1900000</v>
      </c>
      <c r="AF19" s="36">
        <f>IF(AND(AB19&gt;=4,AB19&lt;=6),$E$65,0)+IF(AND(AB19&gt;=7,AB19&lt;=12),$E$66,0)+IF(AND(AB19&gt;=13,AB19&lt;=15),$E$67,0)+IF(AND(AB19&gt;=16,AB19&lt;=18),$E$68,0)+IF(AND(AB19&gt;=19,AB19&lt;=22),$E$69,0)+IF(AND(AB19&gt;=23,AB19&lt;=24),$E$70,0)+IF(AB19=$B$47,$B$48,0)</f>
        <v>966666.66666666674</v>
      </c>
      <c r="AG19" s="36">
        <f>IF(AND(AC19&gt;=4,AC19&lt;=6),$E$74,0)+IF(AND(AC19&gt;=7,AC19&lt;=12),$E$75,0)+IF(AND(AC19&gt;=13,AC19&lt;=15),$E$76,0)+IF(AND(AC19&gt;=16,AC19&lt;=18),$E$77,0)+IF(AND(AC19&gt;=19,AC19&lt;=22),$E$78,0)+IF(AND(AC19&gt;=23,AC19&lt;=24),$E$79,0)+IF(AC19=$B$47,$B$48,0)</f>
        <v>0</v>
      </c>
      <c r="AH19" s="36">
        <f>IF(AND(AD19&gt;=4,AD19&lt;=6),$E$83,0)+IF(AND(AD19&gt;=7,AD19&lt;=12),$E$84,0)+IF(AND(AD19&gt;=13,AD19&lt;=15),$E$85,0)+IF(AND(AD19&gt;=16,AD19&lt;=18),$E$86,0)+IF(AND(AD19&gt;=19,AD19&lt;=22),$E$87,0)+IF(AND(AD19&gt;=23,AD19&lt;=24),$E$88,0)+IF(AD19=$B$47,$B$48,0)</f>
        <v>0</v>
      </c>
      <c r="AI19" s="4"/>
      <c r="AJ19" s="2"/>
      <c r="AK19" s="2"/>
      <c r="AL19" s="2"/>
      <c r="AM19" s="2"/>
    </row>
    <row r="20" spans="1:39" ht="16" customHeight="1">
      <c r="A20" s="2"/>
      <c r="B20" s="2"/>
      <c r="C20" s="2"/>
      <c r="E20" s="2"/>
      <c r="F20" s="7"/>
      <c r="G20" s="7"/>
      <c r="H20" s="7"/>
      <c r="I20" s="7"/>
      <c r="J20" s="7"/>
      <c r="K20" s="7"/>
      <c r="L20" s="7"/>
      <c r="M20" s="7"/>
      <c r="N20" s="4">
        <f t="shared" si="7"/>
        <v>17</v>
      </c>
      <c r="O20" s="8">
        <f t="shared" si="0"/>
        <v>49</v>
      </c>
      <c r="P20" s="8">
        <f t="shared" si="8"/>
        <v>4800000</v>
      </c>
      <c r="Q20" s="8">
        <f t="shared" si="1"/>
        <v>-3396000</v>
      </c>
      <c r="R20" s="8">
        <f t="shared" si="9"/>
        <v>-2316666.666666667</v>
      </c>
      <c r="S20" s="8">
        <f t="shared" si="2"/>
        <v>-912666.66666666698</v>
      </c>
      <c r="T20" s="38">
        <f t="shared" si="14"/>
        <v>-2082000.0000000028</v>
      </c>
      <c r="U20" s="8">
        <f t="shared" si="3"/>
        <v>12918490.319366254</v>
      </c>
      <c r="V20" s="8">
        <f t="shared" si="10"/>
        <v>13893932.99939063</v>
      </c>
      <c r="W20" s="8">
        <f t="shared" si="4"/>
        <v>15000490.319366256</v>
      </c>
      <c r="X20" s="8">
        <f t="shared" si="5"/>
        <v>540000</v>
      </c>
      <c r="Y20" s="8">
        <f t="shared" si="6"/>
        <v>566557.31997562526</v>
      </c>
      <c r="Z20" s="8">
        <f t="shared" si="11"/>
        <v>9180000</v>
      </c>
      <c r="AA20" s="7">
        <f t="shared" si="12"/>
        <v>19</v>
      </c>
      <c r="AB20" s="7">
        <f t="shared" si="13"/>
        <v>15</v>
      </c>
      <c r="AC20" s="4" t="str">
        <f t="shared" si="15"/>
        <v>-</v>
      </c>
      <c r="AD20" s="4" t="str">
        <f t="shared" si="16"/>
        <v>-</v>
      </c>
      <c r="AE20" s="36">
        <f>IF(AND(AA20&gt;=4,AA20&lt;=6),$E$56,0)+IF(AND(AA20&gt;=7,AA20&lt;=12),$E$57,0)+IF(AND(AA20&gt;=13,AA20&lt;=15),$E$58,0)+IF(AND(AA20&gt;=16,AA20&lt;=18),$E$59,0)+IF(AND(AA20&gt;=19,AA20&lt;=22),$E$60,0)+IF(AND(AA20&gt;=23,AA20&lt;=24),$E$61,0)+IF(AA20=$B$47,$B$48,0)</f>
        <v>1350000</v>
      </c>
      <c r="AF20" s="36">
        <f>IF(AND(AB20&gt;=4,AB20&lt;=6),$E$65,0)+IF(AND(AB20&gt;=7,AB20&lt;=12),$E$66,0)+IF(AND(AB20&gt;=13,AB20&lt;=15),$E$67,0)+IF(AND(AB20&gt;=16,AB20&lt;=18),$E$68,0)+IF(AND(AB20&gt;=19,AB20&lt;=22),$E$69,0)+IF(AND(AB20&gt;=23,AB20&lt;=24),$E$70,0)+IF(AB20=$B$47,$B$48,0)</f>
        <v>966666.66666666674</v>
      </c>
      <c r="AG20" s="36">
        <f>IF(AND(AC20&gt;=4,AC20&lt;=6),$E$74,0)+IF(AND(AC20&gt;=7,AC20&lt;=12),$E$75,0)+IF(AND(AC20&gt;=13,AC20&lt;=15),$E$76,0)+IF(AND(AC20&gt;=16,AC20&lt;=18),$E$77,0)+IF(AND(AC20&gt;=19,AC20&lt;=22),$E$78,0)+IF(AND(AC20&gt;=23,AC20&lt;=24),$E$79,0)+IF(AC20=$B$47,$B$48,0)</f>
        <v>0</v>
      </c>
      <c r="AH20" s="36">
        <f>IF(AND(AD20&gt;=4,AD20&lt;=6),$E$83,0)+IF(AND(AD20&gt;=7,AD20&lt;=12),$E$84,0)+IF(AND(AD20&gt;=13,AD20&lt;=15),$E$85,0)+IF(AND(AD20&gt;=16,AD20&lt;=18),$E$86,0)+IF(AND(AD20&gt;=19,AD20&lt;=22),$E$87,0)+IF(AND(AD20&gt;=23,AD20&lt;=24),$E$88,0)+IF(AD20=$B$47,$B$48,0)</f>
        <v>0</v>
      </c>
      <c r="AI20" s="4"/>
      <c r="AJ20" s="2"/>
      <c r="AK20" s="2"/>
      <c r="AL20" s="2"/>
      <c r="AM20" s="2"/>
    </row>
    <row r="21" spans="1:39" ht="16" customHeight="1">
      <c r="A21" s="20" t="s">
        <v>28</v>
      </c>
      <c r="B21" s="20" t="s">
        <v>111</v>
      </c>
      <c r="C21" s="20" t="s">
        <v>112</v>
      </c>
      <c r="E21" s="2"/>
      <c r="F21" s="7"/>
      <c r="G21" s="7"/>
      <c r="H21" s="7"/>
      <c r="I21" s="7"/>
      <c r="J21" s="7"/>
      <c r="K21" s="7"/>
      <c r="L21" s="7"/>
      <c r="M21" s="7"/>
      <c r="N21" s="4">
        <f t="shared" si="7"/>
        <v>18</v>
      </c>
      <c r="O21" s="8">
        <f t="shared" si="0"/>
        <v>50</v>
      </c>
      <c r="P21" s="8">
        <f t="shared" si="8"/>
        <v>4800000</v>
      </c>
      <c r="Q21" s="8">
        <f t="shared" si="1"/>
        <v>-3396000</v>
      </c>
      <c r="R21" s="8">
        <f t="shared" si="9"/>
        <v>-3250000</v>
      </c>
      <c r="S21" s="8">
        <f t="shared" si="2"/>
        <v>-1846000</v>
      </c>
      <c r="T21" s="38">
        <f t="shared" si="14"/>
        <v>-3928000.0000000028</v>
      </c>
      <c r="U21" s="8">
        <f t="shared" si="3"/>
        <v>12223309.932140902</v>
      </c>
      <c r="V21" s="8">
        <f t="shared" si="10"/>
        <v>15000490.319366256</v>
      </c>
      <c r="W21" s="8">
        <f t="shared" si="4"/>
        <v>16151309.932140905</v>
      </c>
      <c r="X21" s="8">
        <f t="shared" si="5"/>
        <v>540000</v>
      </c>
      <c r="Y21" s="8">
        <f t="shared" si="6"/>
        <v>610819.61277465022</v>
      </c>
      <c r="Z21" s="8">
        <f t="shared" si="11"/>
        <v>9720000</v>
      </c>
      <c r="AA21" s="7">
        <f t="shared" si="12"/>
        <v>20</v>
      </c>
      <c r="AB21" s="7">
        <f t="shared" si="13"/>
        <v>16</v>
      </c>
      <c r="AC21" s="4" t="str">
        <f t="shared" si="15"/>
        <v>-</v>
      </c>
      <c r="AD21" s="4" t="str">
        <f t="shared" si="16"/>
        <v>-</v>
      </c>
      <c r="AE21" s="36">
        <f>IF(AND(AA21&gt;=4,AA21&lt;=6),$E$56,0)+IF(AND(AA21&gt;=7,AA21&lt;=12),$E$57,0)+IF(AND(AA21&gt;=13,AA21&lt;=15),$E$58,0)+IF(AND(AA21&gt;=16,AA21&lt;=18),$E$59,0)+IF(AND(AA21&gt;=19,AA21&lt;=22),$E$60,0)+IF(AND(AA21&gt;=23,AA21&lt;=24),$E$61,0)+IF(AA21=$B$47,$B$48,0)</f>
        <v>1350000</v>
      </c>
      <c r="AF21" s="36">
        <f>IF(AND(AB21&gt;=4,AB21&lt;=6),$E$65,0)+IF(AND(AB21&gt;=7,AB21&lt;=12),$E$66,0)+IF(AND(AB21&gt;=13,AB21&lt;=15),$E$67,0)+IF(AND(AB21&gt;=16,AB21&lt;=18),$E$68,0)+IF(AND(AB21&gt;=19,AB21&lt;=22),$E$69,0)+IF(AND(AB21&gt;=23,AB21&lt;=24),$E$70,0)+IF(AB21=$B$47,$B$48,0)</f>
        <v>1900000</v>
      </c>
      <c r="AG21" s="36">
        <f>IF(AND(AC21&gt;=4,AC21&lt;=6),$E$74,0)+IF(AND(AC21&gt;=7,AC21&lt;=12),$E$75,0)+IF(AND(AC21&gt;=13,AC21&lt;=15),$E$76,0)+IF(AND(AC21&gt;=16,AC21&lt;=18),$E$77,0)+IF(AND(AC21&gt;=19,AC21&lt;=22),$E$78,0)+IF(AND(AC21&gt;=23,AC21&lt;=24),$E$79,0)+IF(AC21=$B$47,$B$48,0)</f>
        <v>0</v>
      </c>
      <c r="AH21" s="36">
        <f>IF(AND(AD21&gt;=4,AD21&lt;=6),$E$83,0)+IF(AND(AD21&gt;=7,AD21&lt;=12),$E$84,0)+IF(AND(AD21&gt;=13,AD21&lt;=15),$E$85,0)+IF(AND(AD21&gt;=16,AD21&lt;=18),$E$86,0)+IF(AND(AD21&gt;=19,AD21&lt;=22),$E$87,0)+IF(AND(AD21&gt;=23,AD21&lt;=24),$E$88,0)+IF(AD21=$B$47,$B$48,0)</f>
        <v>0</v>
      </c>
      <c r="AI21" s="4"/>
      <c r="AJ21" s="2"/>
      <c r="AK21" s="2"/>
      <c r="AL21" s="7"/>
      <c r="AM21" s="2"/>
    </row>
    <row r="22" spans="1:39" ht="16" customHeight="1">
      <c r="A22" s="63" t="s">
        <v>29</v>
      </c>
      <c r="B22" s="23">
        <v>50000</v>
      </c>
      <c r="C22" s="23">
        <v>70000</v>
      </c>
      <c r="E22" s="2"/>
      <c r="F22" s="7"/>
      <c r="G22" s="7"/>
      <c r="H22" s="7"/>
      <c r="I22" s="7"/>
      <c r="J22" s="7"/>
      <c r="K22" s="7"/>
      <c r="L22" s="7"/>
      <c r="M22" s="7"/>
      <c r="N22" s="4">
        <f t="shared" si="7"/>
        <v>19</v>
      </c>
      <c r="O22" s="8">
        <f t="shared" si="0"/>
        <v>51</v>
      </c>
      <c r="P22" s="8">
        <f t="shared" si="8"/>
        <v>4800000</v>
      </c>
      <c r="Q22" s="8">
        <f t="shared" si="1"/>
        <v>-3396000</v>
      </c>
      <c r="R22" s="8">
        <f t="shared" si="9"/>
        <v>-3250000</v>
      </c>
      <c r="S22" s="8">
        <f t="shared" si="2"/>
        <v>-1846000</v>
      </c>
      <c r="T22" s="38">
        <f t="shared" si="14"/>
        <v>-5774000.0000000028</v>
      </c>
      <c r="U22" s="8">
        <f t="shared" si="3"/>
        <v>11574162.329426538</v>
      </c>
      <c r="V22" s="8">
        <f t="shared" si="10"/>
        <v>16151309.932140905</v>
      </c>
      <c r="W22" s="8">
        <f t="shared" si="4"/>
        <v>17348162.329426542</v>
      </c>
      <c r="X22" s="8">
        <f t="shared" si="5"/>
        <v>540000</v>
      </c>
      <c r="Y22" s="8">
        <f t="shared" si="6"/>
        <v>656852.39728563628</v>
      </c>
      <c r="Z22" s="8">
        <f t="shared" si="11"/>
        <v>10260000</v>
      </c>
      <c r="AA22" s="7">
        <f t="shared" si="12"/>
        <v>21</v>
      </c>
      <c r="AB22" s="7">
        <f t="shared" si="13"/>
        <v>17</v>
      </c>
      <c r="AC22" s="4" t="str">
        <f t="shared" si="15"/>
        <v>-</v>
      </c>
      <c r="AD22" s="4" t="str">
        <f t="shared" si="16"/>
        <v>-</v>
      </c>
      <c r="AE22" s="36">
        <f>IF(AND(AA22&gt;=4,AA22&lt;=6),$E$56,0)+IF(AND(AA22&gt;=7,AA22&lt;=12),$E$57,0)+IF(AND(AA22&gt;=13,AA22&lt;=15),$E$58,0)+IF(AND(AA22&gt;=16,AA22&lt;=18),$E$59,0)+IF(AND(AA22&gt;=19,AA22&lt;=22),$E$60,0)+IF(AND(AA22&gt;=23,AA22&lt;=24),$E$61,0)+IF(AA22=$B$47,$B$48,0)</f>
        <v>1350000</v>
      </c>
      <c r="AF22" s="36">
        <f>IF(AND(AB22&gt;=4,AB22&lt;=6),$E$65,0)+IF(AND(AB22&gt;=7,AB22&lt;=12),$E$66,0)+IF(AND(AB22&gt;=13,AB22&lt;=15),$E$67,0)+IF(AND(AB22&gt;=16,AB22&lt;=18),$E$68,0)+IF(AND(AB22&gt;=19,AB22&lt;=22),$E$69,0)+IF(AND(AB22&gt;=23,AB22&lt;=24),$E$70,0)+IF(AB22=$B$47,$B$48,0)</f>
        <v>1900000</v>
      </c>
      <c r="AG22" s="36">
        <f>IF(AND(AC22&gt;=4,AC22&lt;=6),$E$74,0)+IF(AND(AC22&gt;=7,AC22&lt;=12),$E$75,0)+IF(AND(AC22&gt;=13,AC22&lt;=15),$E$76,0)+IF(AND(AC22&gt;=16,AC22&lt;=18),$E$77,0)+IF(AND(AC22&gt;=19,AC22&lt;=22),$E$78,0)+IF(AND(AC22&gt;=23,AC22&lt;=24),$E$79,0)+IF(AC22=$B$47,$B$48,0)</f>
        <v>0</v>
      </c>
      <c r="AH22" s="36">
        <f>IF(AND(AD22&gt;=4,AD22&lt;=6),$E$83,0)+IF(AND(AD22&gt;=7,AD22&lt;=12),$E$84,0)+IF(AND(AD22&gt;=13,AD22&lt;=15),$E$85,0)+IF(AND(AD22&gt;=16,AD22&lt;=18),$E$86,0)+IF(AND(AD22&gt;=19,AD22&lt;=22),$E$87,0)+IF(AND(AD22&gt;=23,AD22&lt;=24),$E$88,0)+IF(AD22=$B$47,$B$48,0)</f>
        <v>0</v>
      </c>
      <c r="AI22" s="4"/>
      <c r="AJ22" s="2"/>
      <c r="AK22" s="2"/>
      <c r="AL22" s="2"/>
      <c r="AM22" s="2"/>
    </row>
    <row r="23" spans="1:39" ht="16" customHeight="1">
      <c r="A23" s="63" t="s">
        <v>30</v>
      </c>
      <c r="B23" s="23" t="s">
        <v>32</v>
      </c>
      <c r="C23" s="34"/>
      <c r="E23">
        <f>IF(B23=AL$15,AM$15,0)</f>
        <v>1</v>
      </c>
      <c r="N23" s="4">
        <f t="shared" si="7"/>
        <v>20</v>
      </c>
      <c r="O23" s="8">
        <f t="shared" si="0"/>
        <v>52</v>
      </c>
      <c r="P23" s="8">
        <f t="shared" si="8"/>
        <v>4800000</v>
      </c>
      <c r="Q23" s="8">
        <f t="shared" si="1"/>
        <v>-3396000</v>
      </c>
      <c r="R23" s="8">
        <f t="shared" si="9"/>
        <v>-3250000</v>
      </c>
      <c r="S23" s="8">
        <f t="shared" si="2"/>
        <v>-1846000</v>
      </c>
      <c r="T23" s="38">
        <f t="shared" si="14"/>
        <v>-7620000.0000000028</v>
      </c>
      <c r="U23" s="8">
        <f t="shared" si="3"/>
        <v>10972888.822603598</v>
      </c>
      <c r="V23" s="8">
        <f t="shared" si="10"/>
        <v>17348162.329426542</v>
      </c>
      <c r="W23" s="8">
        <f t="shared" si="4"/>
        <v>18592888.822603602</v>
      </c>
      <c r="X23" s="8">
        <f t="shared" si="5"/>
        <v>540000</v>
      </c>
      <c r="Y23" s="8">
        <f t="shared" si="6"/>
        <v>704726.49317706167</v>
      </c>
      <c r="Z23" s="8">
        <f t="shared" si="11"/>
        <v>10800000</v>
      </c>
      <c r="AA23" s="7">
        <f t="shared" si="12"/>
        <v>22</v>
      </c>
      <c r="AB23" s="7">
        <f t="shared" si="13"/>
        <v>18</v>
      </c>
      <c r="AC23" s="4" t="str">
        <f t="shared" si="15"/>
        <v>-</v>
      </c>
      <c r="AD23" s="4" t="str">
        <f t="shared" si="16"/>
        <v>-</v>
      </c>
      <c r="AE23" s="36">
        <f>IF(AND(AA23&gt;=4,AA23&lt;=6),$E$56,0)+IF(AND(AA23&gt;=7,AA23&lt;=12),$E$57,0)+IF(AND(AA23&gt;=13,AA23&lt;=15),$E$58,0)+IF(AND(AA23&gt;=16,AA23&lt;=18),$E$59,0)+IF(AND(AA23&gt;=19,AA23&lt;=22),$E$60,0)+IF(AND(AA23&gt;=23,AA23&lt;=24),$E$61,0)+IF(AA23=$B$47,$B$48,0)</f>
        <v>1350000</v>
      </c>
      <c r="AF23" s="36">
        <f>IF(AND(AB23&gt;=4,AB23&lt;=6),$E$65,0)+IF(AND(AB23&gt;=7,AB23&lt;=12),$E$66,0)+IF(AND(AB23&gt;=13,AB23&lt;=15),$E$67,0)+IF(AND(AB23&gt;=16,AB23&lt;=18),$E$68,0)+IF(AND(AB23&gt;=19,AB23&lt;=22),$E$69,0)+IF(AND(AB23&gt;=23,AB23&lt;=24),$E$70,0)+IF(AB23=$B$47,$B$48,0)</f>
        <v>1900000</v>
      </c>
      <c r="AG23" s="36">
        <f>IF(AND(AC23&gt;=4,AC23&lt;=6),$E$74,0)+IF(AND(AC23&gt;=7,AC23&lt;=12),$E$75,0)+IF(AND(AC23&gt;=13,AC23&lt;=15),$E$76,0)+IF(AND(AC23&gt;=16,AC23&lt;=18),$E$77,0)+IF(AND(AC23&gt;=19,AC23&lt;=22),$E$78,0)+IF(AND(AC23&gt;=23,AC23&lt;=24),$E$79,0)+IF(AC23=$B$47,$B$48,0)</f>
        <v>0</v>
      </c>
      <c r="AH23" s="36">
        <f>IF(AND(AD23&gt;=4,AD23&lt;=6),$E$83,0)+IF(AND(AD23&gt;=7,AD23&lt;=12),$E$84,0)+IF(AND(AD23&gt;=13,AD23&lt;=15),$E$85,0)+IF(AND(AD23&gt;=16,AD23&lt;=18),$E$86,0)+IF(AND(AD23&gt;=19,AD23&lt;=22),$E$87,0)+IF(AND(AD23&gt;=23,AD23&lt;=24),$E$88,0)+IF(AD23=$B$47,$B$48,0)</f>
        <v>0</v>
      </c>
      <c r="AI23" s="4"/>
      <c r="AJ23" s="2"/>
      <c r="AK23" s="2"/>
      <c r="AL23" s="2"/>
      <c r="AM23" s="2"/>
    </row>
    <row r="24" spans="1:39" ht="16" customHeight="1">
      <c r="A24" s="63" t="s">
        <v>107</v>
      </c>
      <c r="B24" s="23">
        <v>100000</v>
      </c>
      <c r="C24" s="23">
        <v>100000</v>
      </c>
      <c r="D24" s="2"/>
      <c r="E24" s="2"/>
      <c r="F24" s="7"/>
      <c r="G24" s="7"/>
      <c r="H24" s="7"/>
      <c r="I24" s="7"/>
      <c r="J24" s="7"/>
      <c r="K24" s="7"/>
      <c r="L24" s="7"/>
      <c r="M24" s="7"/>
      <c r="N24" s="4">
        <f t="shared" si="7"/>
        <v>21</v>
      </c>
      <c r="O24" s="8">
        <f t="shared" si="0"/>
        <v>53</v>
      </c>
      <c r="P24" s="8">
        <f t="shared" si="8"/>
        <v>4800000</v>
      </c>
      <c r="Q24" s="8">
        <f t="shared" si="1"/>
        <v>-3396000</v>
      </c>
      <c r="R24" s="8">
        <f t="shared" si="9"/>
        <v>-2325000</v>
      </c>
      <c r="S24" s="8">
        <f t="shared" si="2"/>
        <v>-921000</v>
      </c>
      <c r="T24" s="38">
        <f t="shared" si="14"/>
        <v>-8541000.0000000037</v>
      </c>
      <c r="U24" s="8">
        <f t="shared" si="3"/>
        <v>11346404.375507742</v>
      </c>
      <c r="V24" s="8">
        <f t="shared" si="10"/>
        <v>18592888.822603602</v>
      </c>
      <c r="W24" s="8">
        <f t="shared" si="4"/>
        <v>19887404.375507746</v>
      </c>
      <c r="X24" s="8">
        <f t="shared" si="5"/>
        <v>540000</v>
      </c>
      <c r="Y24" s="8">
        <f t="shared" si="6"/>
        <v>754515.55290414405</v>
      </c>
      <c r="Z24" s="8">
        <f t="shared" si="11"/>
        <v>11340000</v>
      </c>
      <c r="AA24" s="7">
        <f t="shared" si="12"/>
        <v>23</v>
      </c>
      <c r="AB24" s="7">
        <f t="shared" si="13"/>
        <v>19</v>
      </c>
      <c r="AC24" s="4" t="str">
        <f t="shared" si="15"/>
        <v>-</v>
      </c>
      <c r="AD24" s="4" t="str">
        <f t="shared" si="16"/>
        <v>-</v>
      </c>
      <c r="AE24" s="36">
        <f>IF(AND(AA24&gt;=4,AA24&lt;=6),$E$56,0)+IF(AND(AA24&gt;=7,AA24&lt;=12),$E$57,0)+IF(AND(AA24&gt;=13,AA24&lt;=15),$E$58,0)+IF(AND(AA24&gt;=16,AA24&lt;=18),$E$59,0)+IF(AND(AA24&gt;=19,AA24&lt;=22),$E$60,0)+IF(AND(AA24&gt;=23,AA24&lt;=24),$E$61,0)+IF(AA24=$B$47,$B$48,0)</f>
        <v>1350000</v>
      </c>
      <c r="AF24" s="36">
        <f>IF(AND(AB24&gt;=4,AB24&lt;=6),$E$65,0)+IF(AND(AB24&gt;=7,AB24&lt;=12),$E$66,0)+IF(AND(AB24&gt;=13,AB24&lt;=15),$E$67,0)+IF(AND(AB24&gt;=16,AB24&lt;=18),$E$68,0)+IF(AND(AB24&gt;=19,AB24&lt;=22),$E$69,0)+IF(AND(AB24&gt;=23,AB24&lt;=24),$E$70,0)+IF(AB24=$B$47,$B$48,0)</f>
        <v>975000</v>
      </c>
      <c r="AG24" s="36">
        <f>IF(AND(AC24&gt;=4,AC24&lt;=6),$E$74,0)+IF(AND(AC24&gt;=7,AC24&lt;=12),$E$75,0)+IF(AND(AC24&gt;=13,AC24&lt;=15),$E$76,0)+IF(AND(AC24&gt;=16,AC24&lt;=18),$E$77,0)+IF(AND(AC24&gt;=19,AC24&lt;=22),$E$78,0)+IF(AND(AC24&gt;=23,AC24&lt;=24),$E$79,0)+IF(AC24=$B$47,$B$48,0)</f>
        <v>0</v>
      </c>
      <c r="AH24" s="36">
        <f>IF(AND(AD24&gt;=4,AD24&lt;=6),$E$83,0)+IF(AND(AD24&gt;=7,AD24&lt;=12),$E$84,0)+IF(AND(AD24&gt;=13,AD24&lt;=15),$E$85,0)+IF(AND(AD24&gt;=16,AD24&lt;=18),$E$86,0)+IF(AND(AD24&gt;=19,AD24&lt;=22),$E$87,0)+IF(AND(AD24&gt;=23,AD24&lt;=24),$E$88,0)+IF(AD24=$B$47,$B$48,0)</f>
        <v>0</v>
      </c>
      <c r="AI24" s="4"/>
      <c r="AJ24" s="2"/>
      <c r="AK24" s="2"/>
      <c r="AL24" s="2"/>
      <c r="AM24" s="2"/>
    </row>
    <row r="25" spans="1:39" ht="16" customHeight="1">
      <c r="A25" s="63" t="s">
        <v>31</v>
      </c>
      <c r="B25" s="23">
        <v>70</v>
      </c>
      <c r="C25" s="23"/>
      <c r="D25" s="2"/>
      <c r="E25" s="2"/>
      <c r="F25" s="7"/>
      <c r="G25" s="7"/>
      <c r="H25" s="7"/>
      <c r="I25" s="7"/>
      <c r="J25" s="7"/>
      <c r="K25" s="7"/>
      <c r="L25" s="7"/>
      <c r="M25" s="7"/>
      <c r="N25" s="4">
        <f t="shared" si="7"/>
        <v>22</v>
      </c>
      <c r="O25" s="8">
        <f t="shared" si="0"/>
        <v>54</v>
      </c>
      <c r="P25" s="8">
        <f t="shared" si="8"/>
        <v>4800000</v>
      </c>
      <c r="Q25" s="8">
        <f t="shared" si="1"/>
        <v>-3396000</v>
      </c>
      <c r="R25" s="8">
        <f t="shared" si="9"/>
        <v>-2325000</v>
      </c>
      <c r="S25" s="8">
        <f t="shared" si="2"/>
        <v>-921000</v>
      </c>
      <c r="T25" s="38">
        <f t="shared" si="14"/>
        <v>-9462000.0000000037</v>
      </c>
      <c r="U25" s="8">
        <f t="shared" si="3"/>
        <v>11771700.550528053</v>
      </c>
      <c r="V25" s="8">
        <f t="shared" si="10"/>
        <v>19887404.375507746</v>
      </c>
      <c r="W25" s="8">
        <f t="shared" si="4"/>
        <v>21233700.550528057</v>
      </c>
      <c r="X25" s="8">
        <f t="shared" si="5"/>
        <v>540000</v>
      </c>
      <c r="Y25" s="8">
        <f t="shared" si="6"/>
        <v>806296.17502030986</v>
      </c>
      <c r="Z25" s="8">
        <f t="shared" si="11"/>
        <v>11880000</v>
      </c>
      <c r="AA25" s="7">
        <f t="shared" si="12"/>
        <v>24</v>
      </c>
      <c r="AB25" s="7">
        <f t="shared" si="13"/>
        <v>20</v>
      </c>
      <c r="AC25" s="4" t="str">
        <f t="shared" si="15"/>
        <v>-</v>
      </c>
      <c r="AD25" s="4" t="str">
        <f t="shared" si="16"/>
        <v>-</v>
      </c>
      <c r="AE25" s="36">
        <f>IF(AND(AA25&gt;=4,AA25&lt;=6),$E$56,0)+IF(AND(AA25&gt;=7,AA25&lt;=12),$E$57,0)+IF(AND(AA25&gt;=13,AA25&lt;=15),$E$58,0)+IF(AND(AA25&gt;=16,AA25&lt;=18),$E$59,0)+IF(AND(AA25&gt;=19,AA25&lt;=22),$E$60,0)+IF(AND(AA25&gt;=23,AA25&lt;=24),$E$61,0)+IF(AA25=$B$47,$B$48,0)</f>
        <v>1350000</v>
      </c>
      <c r="AF25" s="36">
        <f>IF(AND(AB25&gt;=4,AB25&lt;=6),$E$65,0)+IF(AND(AB25&gt;=7,AB25&lt;=12),$E$66,0)+IF(AND(AB25&gt;=13,AB25&lt;=15),$E$67,0)+IF(AND(AB25&gt;=16,AB25&lt;=18),$E$68,0)+IF(AND(AB25&gt;=19,AB25&lt;=22),$E$69,0)+IF(AND(AB25&gt;=23,AB25&lt;=24),$E$70,0)+IF(AB25=$B$47,$B$48,0)</f>
        <v>975000</v>
      </c>
      <c r="AG25" s="36">
        <f>IF(AND(AC25&gt;=4,AC25&lt;=6),$E$74,0)+IF(AND(AC25&gt;=7,AC25&lt;=12),$E$75,0)+IF(AND(AC25&gt;=13,AC25&lt;=15),$E$76,0)+IF(AND(AC25&gt;=16,AC25&lt;=18),$E$77,0)+IF(AND(AC25&gt;=19,AC25&lt;=22),$E$78,0)+IF(AND(AC25&gt;=23,AC25&lt;=24),$E$79,0)+IF(AC25=$B$47,$B$48,0)</f>
        <v>0</v>
      </c>
      <c r="AH25" s="36">
        <f>IF(AND(AD25&gt;=4,AD25&lt;=6),$E$83,0)+IF(AND(AD25&gt;=7,AD25&lt;=12),$E$84,0)+IF(AND(AD25&gt;=13,AD25&lt;=15),$E$85,0)+IF(AND(AD25&gt;=16,AD25&lt;=18),$E$86,0)+IF(AND(AD25&gt;=19,AD25&lt;=22),$E$87,0)+IF(AND(AD25&gt;=23,AD25&lt;=24),$E$88,0)+IF(AD25=$B$47,$B$48,0)</f>
        <v>0</v>
      </c>
      <c r="AI25" s="4"/>
      <c r="AJ25" s="2"/>
      <c r="AK25" s="2"/>
      <c r="AL25" s="2"/>
      <c r="AM25" s="2"/>
    </row>
    <row r="26" spans="1:39" ht="16" customHeight="1">
      <c r="A26" s="63" t="s">
        <v>35</v>
      </c>
      <c r="B26" s="23">
        <v>15000</v>
      </c>
      <c r="C26" s="23">
        <v>15000</v>
      </c>
      <c r="D26" s="2"/>
      <c r="E26" s="2"/>
      <c r="F26" s="7"/>
      <c r="G26" s="7"/>
      <c r="H26" s="7"/>
      <c r="I26" s="7"/>
      <c r="J26" s="7"/>
      <c r="K26" s="7"/>
      <c r="L26" s="7"/>
      <c r="M26" s="7"/>
      <c r="N26" s="4">
        <f t="shared" si="7"/>
        <v>23</v>
      </c>
      <c r="O26" s="8">
        <f t="shared" si="0"/>
        <v>55</v>
      </c>
      <c r="P26" s="8">
        <f t="shared" si="8"/>
        <v>4800000</v>
      </c>
      <c r="Q26" s="8">
        <f t="shared" si="1"/>
        <v>-3396000</v>
      </c>
      <c r="R26" s="8">
        <f t="shared" si="9"/>
        <v>-975000</v>
      </c>
      <c r="S26" s="8">
        <f t="shared" si="2"/>
        <v>429000</v>
      </c>
      <c r="T26" s="38">
        <f t="shared" si="14"/>
        <v>-9033000.0000000037</v>
      </c>
      <c r="U26" s="8">
        <f t="shared" si="3"/>
        <v>13600848.572549175</v>
      </c>
      <c r="V26" s="8">
        <f t="shared" si="10"/>
        <v>21233700.550528057</v>
      </c>
      <c r="W26" s="8">
        <f t="shared" si="4"/>
        <v>22633848.572549179</v>
      </c>
      <c r="X26" s="8">
        <f t="shared" si="5"/>
        <v>540000</v>
      </c>
      <c r="Y26" s="8">
        <f t="shared" si="6"/>
        <v>860148.02202112228</v>
      </c>
      <c r="Z26" s="8">
        <f t="shared" si="11"/>
        <v>12420000</v>
      </c>
      <c r="AA26" s="7">
        <f t="shared" si="12"/>
        <v>25</v>
      </c>
      <c r="AB26" s="7">
        <f t="shared" si="13"/>
        <v>21</v>
      </c>
      <c r="AC26" s="4" t="str">
        <f t="shared" si="15"/>
        <v>-</v>
      </c>
      <c r="AD26" s="4" t="str">
        <f t="shared" si="16"/>
        <v>-</v>
      </c>
      <c r="AE26" s="36">
        <f>IF(AND(AA26&gt;=4,AA26&lt;=6),$E$56,0)+IF(AND(AA26&gt;=7,AA26&lt;=12),$E$57,0)+IF(AND(AA26&gt;=13,AA26&lt;=15),$E$58,0)+IF(AND(AA26&gt;=16,AA26&lt;=18),$E$59,0)+IF(AND(AA26&gt;=19,AA26&lt;=22),$E$60,0)+IF(AND(AA26&gt;=23,AA26&lt;=24),$E$61,0)+IF(AA26=$B$47,$B$48,0)</f>
        <v>0</v>
      </c>
      <c r="AF26" s="36">
        <f>IF(AND(AB26&gt;=4,AB26&lt;=6),$E$65,0)+IF(AND(AB26&gt;=7,AB26&lt;=12),$E$66,0)+IF(AND(AB26&gt;=13,AB26&lt;=15),$E$67,0)+IF(AND(AB26&gt;=16,AB26&lt;=18),$E$68,0)+IF(AND(AB26&gt;=19,AB26&lt;=22),$E$69,0)+IF(AND(AB26&gt;=23,AB26&lt;=24),$E$70,0)+IF(AB26=$B$47,$B$48,0)</f>
        <v>975000</v>
      </c>
      <c r="AG26" s="36">
        <f>IF(AND(AC26&gt;=4,AC26&lt;=6),$E$74,0)+IF(AND(AC26&gt;=7,AC26&lt;=12),$E$75,0)+IF(AND(AC26&gt;=13,AC26&lt;=15),$E$76,0)+IF(AND(AC26&gt;=16,AC26&lt;=18),$E$77,0)+IF(AND(AC26&gt;=19,AC26&lt;=22),$E$78,0)+IF(AND(AC26&gt;=23,AC26&lt;=24),$E$79,0)+IF(AC26=$B$47,$B$48,0)</f>
        <v>0</v>
      </c>
      <c r="AH26" s="36">
        <f>IF(AND(AD26&gt;=4,AD26&lt;=6),$E$83,0)+IF(AND(AD26&gt;=7,AD26&lt;=12),$E$84,0)+IF(AND(AD26&gt;=13,AD26&lt;=15),$E$85,0)+IF(AND(AD26&gt;=16,AD26&lt;=18),$E$86,0)+IF(AND(AD26&gt;=19,AD26&lt;=22),$E$87,0)+IF(AND(AD26&gt;=23,AD26&lt;=24),$E$88,0)+IF(AD26=$B$47,$B$48,0)</f>
        <v>0</v>
      </c>
      <c r="AI26" s="4"/>
      <c r="AJ26" s="2"/>
      <c r="AK26" s="2"/>
      <c r="AL26" s="2"/>
      <c r="AM26" s="2"/>
    </row>
    <row r="27" spans="1:39" ht="16" customHeight="1">
      <c r="A27" s="63" t="s">
        <v>36</v>
      </c>
      <c r="B27" s="23">
        <v>5000</v>
      </c>
      <c r="C27" s="23">
        <v>10000</v>
      </c>
      <c r="D27" s="2"/>
      <c r="E27" s="2"/>
      <c r="F27" s="7"/>
      <c r="G27" s="7"/>
      <c r="H27" s="7"/>
      <c r="I27" s="7"/>
      <c r="J27" s="7"/>
      <c r="K27" s="7"/>
      <c r="L27" s="7"/>
      <c r="M27" s="7"/>
      <c r="N27" s="4">
        <f t="shared" si="7"/>
        <v>24</v>
      </c>
      <c r="O27" s="8">
        <f t="shared" si="0"/>
        <v>56</v>
      </c>
      <c r="P27" s="8">
        <f t="shared" si="8"/>
        <v>4800000</v>
      </c>
      <c r="Q27" s="8">
        <f t="shared" si="1"/>
        <v>-3396000</v>
      </c>
      <c r="R27" s="8">
        <f t="shared" si="9"/>
        <v>-975000</v>
      </c>
      <c r="S27" s="8">
        <f t="shared" si="2"/>
        <v>429000</v>
      </c>
      <c r="T27" s="38">
        <f t="shared" si="14"/>
        <v>-8604000.0000000037</v>
      </c>
      <c r="U27" s="8">
        <f t="shared" si="3"/>
        <v>15486002.515451144</v>
      </c>
      <c r="V27" s="8">
        <f t="shared" si="10"/>
        <v>22633848.572549179</v>
      </c>
      <c r="W27" s="8">
        <f t="shared" si="4"/>
        <v>24090002.515451148</v>
      </c>
      <c r="X27" s="8">
        <f t="shared" si="5"/>
        <v>540000</v>
      </c>
      <c r="Y27" s="8">
        <f t="shared" si="6"/>
        <v>916153.94290196721</v>
      </c>
      <c r="Z27" s="8">
        <f t="shared" si="11"/>
        <v>12960000</v>
      </c>
      <c r="AA27" s="7">
        <f t="shared" si="12"/>
        <v>26</v>
      </c>
      <c r="AB27" s="7">
        <f t="shared" si="13"/>
        <v>22</v>
      </c>
      <c r="AC27" s="4" t="str">
        <f t="shared" si="15"/>
        <v>-</v>
      </c>
      <c r="AD27" s="4" t="str">
        <f t="shared" si="16"/>
        <v>-</v>
      </c>
      <c r="AE27" s="36">
        <f>IF(AND(AA27&gt;=4,AA27&lt;=6),$E$56,0)+IF(AND(AA27&gt;=7,AA27&lt;=12),$E$57,0)+IF(AND(AA27&gt;=13,AA27&lt;=15),$E$58,0)+IF(AND(AA27&gt;=16,AA27&lt;=18),$E$59,0)+IF(AND(AA27&gt;=19,AA27&lt;=22),$E$60,0)+IF(AND(AA27&gt;=23,AA27&lt;=24),$E$61,0)+IF(AA27=$B$47,$B$48,0)</f>
        <v>0</v>
      </c>
      <c r="AF27" s="36">
        <f>IF(AND(AB27&gt;=4,AB27&lt;=6),$E$65,0)+IF(AND(AB27&gt;=7,AB27&lt;=12),$E$66,0)+IF(AND(AB27&gt;=13,AB27&lt;=15),$E$67,0)+IF(AND(AB27&gt;=16,AB27&lt;=18),$E$68,0)+IF(AND(AB27&gt;=19,AB27&lt;=22),$E$69,0)+IF(AND(AB27&gt;=23,AB27&lt;=24),$E$70,0)+IF(AB27=$B$47,$B$48,0)</f>
        <v>975000</v>
      </c>
      <c r="AG27" s="36">
        <f>IF(AND(AC27&gt;=4,AC27&lt;=6),$E$74,0)+IF(AND(AC27&gt;=7,AC27&lt;=12),$E$75,0)+IF(AND(AC27&gt;=13,AC27&lt;=15),$E$76,0)+IF(AND(AC27&gt;=16,AC27&lt;=18),$E$77,0)+IF(AND(AC27&gt;=19,AC27&lt;=22),$E$78,0)+IF(AND(AC27&gt;=23,AC27&lt;=24),$E$79,0)+IF(AC27=$B$47,$B$48,0)</f>
        <v>0</v>
      </c>
      <c r="AH27" s="36">
        <f>IF(AND(AD27&gt;=4,AD27&lt;=6),$E$83,0)+IF(AND(AD27&gt;=7,AD27&lt;=12),$E$84,0)+IF(AND(AD27&gt;=13,AD27&lt;=15),$E$85,0)+IF(AND(AD27&gt;=16,AD27&lt;=18),$E$86,0)+IF(AND(AD27&gt;=19,AD27&lt;=22),$E$87,0)+IF(AND(AD27&gt;=23,AD27&lt;=24),$E$88,0)+IF(AD27=$B$47,$B$48,0)</f>
        <v>0</v>
      </c>
      <c r="AI27" s="4"/>
      <c r="AJ27" s="2"/>
      <c r="AK27" s="2"/>
      <c r="AL27" s="2"/>
      <c r="AM27" s="2"/>
    </row>
    <row r="28" spans="1:39" ht="16" customHeight="1">
      <c r="A28" s="63" t="s">
        <v>37</v>
      </c>
      <c r="B28" s="23">
        <v>20000</v>
      </c>
      <c r="C28" s="23">
        <v>3000</v>
      </c>
      <c r="D28" s="2"/>
      <c r="E28" s="2"/>
      <c r="F28" s="7"/>
      <c r="G28" s="7"/>
      <c r="H28" s="7"/>
      <c r="I28" s="7"/>
      <c r="J28" s="7"/>
      <c r="K28" s="7"/>
      <c r="L28" s="7"/>
      <c r="M28" s="7"/>
      <c r="N28" s="4">
        <f t="shared" si="7"/>
        <v>25</v>
      </c>
      <c r="O28" s="8">
        <f t="shared" si="0"/>
        <v>57</v>
      </c>
      <c r="P28" s="8">
        <f t="shared" si="8"/>
        <v>4800000</v>
      </c>
      <c r="Q28" s="8">
        <f t="shared" si="1"/>
        <v>-3396000</v>
      </c>
      <c r="R28" s="8">
        <f t="shared" si="9"/>
        <v>0</v>
      </c>
      <c r="S28" s="8">
        <f t="shared" si="2"/>
        <v>1404000</v>
      </c>
      <c r="T28" s="38">
        <f t="shared" si="14"/>
        <v>-7200000.0000000037</v>
      </c>
      <c r="U28" s="8">
        <f t="shared" si="3"/>
        <v>18404402.61606919</v>
      </c>
      <c r="V28" s="8">
        <f t="shared" si="10"/>
        <v>24090002.515451148</v>
      </c>
      <c r="W28" s="8">
        <f t="shared" si="4"/>
        <v>25604402.616069194</v>
      </c>
      <c r="X28" s="8">
        <f t="shared" si="5"/>
        <v>540000</v>
      </c>
      <c r="Y28" s="8">
        <f t="shared" si="6"/>
        <v>974400.10061804589</v>
      </c>
      <c r="Z28" s="8">
        <f t="shared" si="11"/>
        <v>13500000</v>
      </c>
      <c r="AA28" s="7">
        <f t="shared" si="12"/>
        <v>27</v>
      </c>
      <c r="AB28" s="7">
        <f t="shared" si="13"/>
        <v>23</v>
      </c>
      <c r="AC28" s="4" t="str">
        <f t="shared" si="15"/>
        <v>-</v>
      </c>
      <c r="AD28" s="4" t="str">
        <f t="shared" si="16"/>
        <v>-</v>
      </c>
      <c r="AE28" s="36">
        <f>IF(AND(AA28&gt;=4,AA28&lt;=6),$E$56,0)+IF(AND(AA28&gt;=7,AA28&lt;=12),$E$57,0)+IF(AND(AA28&gt;=13,AA28&lt;=15),$E$58,0)+IF(AND(AA28&gt;=16,AA28&lt;=18),$E$59,0)+IF(AND(AA28&gt;=19,AA28&lt;=22),$E$60,0)+IF(AND(AA28&gt;=23,AA28&lt;=24),$E$61,0)+IF(AA28=$B$47,$B$48,0)</f>
        <v>0</v>
      </c>
      <c r="AF28" s="36">
        <f>IF(AND(AB28&gt;=4,AB28&lt;=6),$E$65,0)+IF(AND(AB28&gt;=7,AB28&lt;=12),$E$66,0)+IF(AND(AB28&gt;=13,AB28&lt;=15),$E$67,0)+IF(AND(AB28&gt;=16,AB28&lt;=18),$E$68,0)+IF(AND(AB28&gt;=19,AB28&lt;=22),$E$69,0)+IF(AND(AB28&gt;=23,AB28&lt;=24),$E$70,0)+IF(AB28=$B$47,$B$48,0)</f>
        <v>0</v>
      </c>
      <c r="AG28" s="36">
        <f>IF(AND(AC28&gt;=4,AC28&lt;=6),$E$74,0)+IF(AND(AC28&gt;=7,AC28&lt;=12),$E$75,0)+IF(AND(AC28&gt;=13,AC28&lt;=15),$E$76,0)+IF(AND(AC28&gt;=16,AC28&lt;=18),$E$77,0)+IF(AND(AC28&gt;=19,AC28&lt;=22),$E$78,0)+IF(AND(AC28&gt;=23,AC28&lt;=24),$E$79,0)+IF(AC28=$B$47,$B$48,0)</f>
        <v>0</v>
      </c>
      <c r="AH28" s="36">
        <f>IF(AND(AD28&gt;=4,AD28&lt;=6),$E$83,0)+IF(AND(AD28&gt;=7,AD28&lt;=12),$E$84,0)+IF(AND(AD28&gt;=13,AD28&lt;=15),$E$85,0)+IF(AND(AD28&gt;=16,AD28&lt;=18),$E$86,0)+IF(AND(AD28&gt;=19,AD28&lt;=22),$E$87,0)+IF(AND(AD28&gt;=23,AD28&lt;=24),$E$88,0)+IF(AD28=$B$47,$B$48,0)</f>
        <v>0</v>
      </c>
      <c r="AI28" s="4"/>
      <c r="AJ28" s="2"/>
      <c r="AK28" s="2"/>
      <c r="AL28" s="2"/>
      <c r="AM28" s="2"/>
    </row>
    <row r="29" spans="1:39" ht="16" customHeight="1">
      <c r="A29" s="63" t="s">
        <v>38</v>
      </c>
      <c r="B29" s="23">
        <v>20000</v>
      </c>
      <c r="C29" s="23">
        <v>20000</v>
      </c>
      <c r="D29" s="2"/>
      <c r="E29" s="2"/>
      <c r="F29" s="7"/>
      <c r="G29" s="7"/>
      <c r="H29" s="7"/>
      <c r="I29" s="7"/>
      <c r="J29" s="7"/>
      <c r="K29" s="7"/>
      <c r="L29" s="7"/>
      <c r="M29" s="7"/>
      <c r="N29" s="4">
        <f t="shared" si="7"/>
        <v>26</v>
      </c>
      <c r="O29" s="8">
        <f t="shared" si="0"/>
        <v>58</v>
      </c>
      <c r="P29" s="8">
        <f t="shared" si="8"/>
        <v>4800000</v>
      </c>
      <c r="Q29" s="8">
        <f t="shared" si="1"/>
        <v>-3396000</v>
      </c>
      <c r="R29" s="8">
        <f t="shared" si="9"/>
        <v>-500000</v>
      </c>
      <c r="S29" s="8">
        <f t="shared" si="2"/>
        <v>904000</v>
      </c>
      <c r="T29" s="38">
        <f t="shared" si="14"/>
        <v>-6296000.0000000037</v>
      </c>
      <c r="U29" s="8">
        <f t="shared" si="3"/>
        <v>20883378.720711958</v>
      </c>
      <c r="V29" s="8">
        <f t="shared" si="10"/>
        <v>25604402.616069194</v>
      </c>
      <c r="W29" s="8">
        <f t="shared" si="4"/>
        <v>27179378.720711961</v>
      </c>
      <c r="X29" s="8">
        <f t="shared" si="5"/>
        <v>540000</v>
      </c>
      <c r="Y29" s="8">
        <f t="shared" si="6"/>
        <v>1034976.1046427678</v>
      </c>
      <c r="Z29" s="8">
        <f t="shared" si="11"/>
        <v>14040000</v>
      </c>
      <c r="AA29" s="7">
        <f t="shared" si="12"/>
        <v>28</v>
      </c>
      <c r="AB29" s="7">
        <f t="shared" si="13"/>
        <v>24</v>
      </c>
      <c r="AC29" s="4" t="str">
        <f t="shared" si="15"/>
        <v>-</v>
      </c>
      <c r="AD29" s="4" t="str">
        <f t="shared" si="16"/>
        <v>-</v>
      </c>
      <c r="AE29" s="36">
        <f>IF(AND(AA29&gt;=4,AA29&lt;=6),$E$56,0)+IF(AND(AA29&gt;=7,AA29&lt;=12),$E$57,0)+IF(AND(AA29&gt;=13,AA29&lt;=15),$E$58,0)+IF(AND(AA29&gt;=16,AA29&lt;=18),$E$59,0)+IF(AND(AA29&gt;=19,AA29&lt;=22),$E$60,0)+IF(AND(AA29&gt;=23,AA29&lt;=24),$E$61,0)+IF(AA29=$B$47,$B$48,0)</f>
        <v>500000</v>
      </c>
      <c r="AF29" s="36">
        <f>IF(AND(AB29&gt;=4,AB29&lt;=6),$E$65,0)+IF(AND(AB29&gt;=7,AB29&lt;=12),$E$66,0)+IF(AND(AB29&gt;=13,AB29&lt;=15),$E$67,0)+IF(AND(AB29&gt;=16,AB29&lt;=18),$E$68,0)+IF(AND(AB29&gt;=19,AB29&lt;=22),$E$69,0)+IF(AND(AB29&gt;=23,AB29&lt;=24),$E$70,0)+IF(AB29=$B$47,$B$48,0)</f>
        <v>0</v>
      </c>
      <c r="AG29" s="36">
        <f>IF(AND(AC29&gt;=4,AC29&lt;=6),$E$74,0)+IF(AND(AC29&gt;=7,AC29&lt;=12),$E$75,0)+IF(AND(AC29&gt;=13,AC29&lt;=15),$E$76,0)+IF(AND(AC29&gt;=16,AC29&lt;=18),$E$77,0)+IF(AND(AC29&gt;=19,AC29&lt;=22),$E$78,0)+IF(AND(AC29&gt;=23,AC29&lt;=24),$E$79,0)+IF(AC29=$B$47,$B$48,0)</f>
        <v>0</v>
      </c>
      <c r="AH29" s="36">
        <f>IF(AND(AD29&gt;=4,AD29&lt;=6),$E$83,0)+IF(AND(AD29&gt;=7,AD29&lt;=12),$E$84,0)+IF(AND(AD29&gt;=13,AD29&lt;=15),$E$85,0)+IF(AND(AD29&gt;=16,AD29&lt;=18),$E$86,0)+IF(AND(AD29&gt;=19,AD29&lt;=22),$E$87,0)+IF(AND(AD29&gt;=23,AD29&lt;=24),$E$88,0)+IF(AD29=$B$47,$B$48,0)</f>
        <v>0</v>
      </c>
      <c r="AI29" s="4"/>
      <c r="AJ29" s="2"/>
      <c r="AK29" s="2"/>
      <c r="AL29" s="2"/>
      <c r="AM29" s="2"/>
    </row>
    <row r="30" spans="1:39" ht="16" customHeight="1">
      <c r="A30" s="63" t="s">
        <v>39</v>
      </c>
      <c r="B30" s="23">
        <v>40000</v>
      </c>
      <c r="C30" s="23">
        <v>20000</v>
      </c>
      <c r="D30" s="2"/>
      <c r="E30" s="2"/>
      <c r="F30" s="7"/>
      <c r="G30" s="7"/>
      <c r="H30" s="7"/>
      <c r="I30" s="7"/>
      <c r="J30" s="7"/>
      <c r="K30" s="7"/>
      <c r="L30" s="7"/>
      <c r="M30" s="7"/>
      <c r="N30" s="4">
        <f t="shared" si="7"/>
        <v>27</v>
      </c>
      <c r="O30" s="8">
        <f t="shared" si="0"/>
        <v>59</v>
      </c>
      <c r="P30" s="8">
        <f t="shared" si="8"/>
        <v>4800000</v>
      </c>
      <c r="Q30" s="8">
        <f t="shared" si="1"/>
        <v>-3396000</v>
      </c>
      <c r="R30" s="8">
        <f t="shared" si="9"/>
        <v>0</v>
      </c>
      <c r="S30" s="8">
        <f t="shared" si="2"/>
        <v>1404000</v>
      </c>
      <c r="T30" s="38">
        <f t="shared" si="14"/>
        <v>-4892000.0000000037</v>
      </c>
      <c r="U30" s="8">
        <f t="shared" si="3"/>
        <v>23925353.869540434</v>
      </c>
      <c r="V30" s="8">
        <f t="shared" si="10"/>
        <v>27179378.720711961</v>
      </c>
      <c r="W30" s="8">
        <f t="shared" si="4"/>
        <v>28817353.869540438</v>
      </c>
      <c r="X30" s="8">
        <f t="shared" si="5"/>
        <v>540000</v>
      </c>
      <c r="Y30" s="8">
        <f t="shared" si="6"/>
        <v>1097975.1488284785</v>
      </c>
      <c r="Z30" s="8">
        <f t="shared" si="11"/>
        <v>14580000</v>
      </c>
      <c r="AA30" s="7">
        <f t="shared" si="12"/>
        <v>29</v>
      </c>
      <c r="AB30" s="7">
        <f t="shared" si="13"/>
        <v>25</v>
      </c>
      <c r="AC30" s="4" t="str">
        <f t="shared" si="15"/>
        <v>-</v>
      </c>
      <c r="AD30" s="4" t="str">
        <f t="shared" si="16"/>
        <v>-</v>
      </c>
      <c r="AE30" s="36">
        <f>IF(AND(AA30&gt;=4,AA30&lt;=6),$E$56,0)+IF(AND(AA30&gt;=7,AA30&lt;=12),$E$57,0)+IF(AND(AA30&gt;=13,AA30&lt;=15),$E$58,0)+IF(AND(AA30&gt;=16,AA30&lt;=18),$E$59,0)+IF(AND(AA30&gt;=19,AA30&lt;=22),$E$60,0)+IF(AND(AA30&gt;=23,AA30&lt;=24),$E$61,0)+IF(AA30=$B$47,$B$48,0)</f>
        <v>0</v>
      </c>
      <c r="AF30" s="36">
        <f>IF(AND(AB30&gt;=4,AB30&lt;=6),$E$65,0)+IF(AND(AB30&gt;=7,AB30&lt;=12),$E$66,0)+IF(AND(AB30&gt;=13,AB30&lt;=15),$E$67,0)+IF(AND(AB30&gt;=16,AB30&lt;=18),$E$68,0)+IF(AND(AB30&gt;=19,AB30&lt;=22),$E$69,0)+IF(AND(AB30&gt;=23,AB30&lt;=24),$E$70,0)+IF(AB30=$B$47,$B$48,0)</f>
        <v>0</v>
      </c>
      <c r="AG30" s="36">
        <f>IF(AND(AC30&gt;=4,AC30&lt;=6),$E$74,0)+IF(AND(AC30&gt;=7,AC30&lt;=12),$E$75,0)+IF(AND(AC30&gt;=13,AC30&lt;=15),$E$76,0)+IF(AND(AC30&gt;=16,AC30&lt;=18),$E$77,0)+IF(AND(AC30&gt;=19,AC30&lt;=22),$E$78,0)+IF(AND(AC30&gt;=23,AC30&lt;=24),$E$79,0)+IF(AC30=$B$47,$B$48,0)</f>
        <v>0</v>
      </c>
      <c r="AH30" s="36">
        <f>IF(AND(AD30&gt;=4,AD30&lt;=6),$E$83,0)+IF(AND(AD30&gt;=7,AD30&lt;=12),$E$84,0)+IF(AND(AD30&gt;=13,AD30&lt;=15),$E$85,0)+IF(AND(AD30&gt;=16,AD30&lt;=18),$E$86,0)+IF(AND(AD30&gt;=19,AD30&lt;=22),$E$87,0)+IF(AND(AD30&gt;=23,AD30&lt;=24),$E$88,0)+IF(AD30=$B$47,$B$48,0)</f>
        <v>0</v>
      </c>
      <c r="AI30" s="4"/>
      <c r="AJ30" s="2"/>
      <c r="AK30" s="2"/>
      <c r="AL30" s="2"/>
      <c r="AM30" s="2"/>
    </row>
    <row r="31" spans="1:39" ht="16" customHeight="1">
      <c r="A31" s="63" t="s">
        <v>116</v>
      </c>
      <c r="B31" s="23"/>
      <c r="C31" s="24">
        <f>B6</f>
        <v>45000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4">
        <f t="shared" si="7"/>
        <v>28</v>
      </c>
      <c r="O31" s="8">
        <f t="shared" si="0"/>
        <v>60</v>
      </c>
      <c r="P31" s="8">
        <f t="shared" si="8"/>
        <v>4800000</v>
      </c>
      <c r="Q31" s="8">
        <f t="shared" si="1"/>
        <v>-3396000</v>
      </c>
      <c r="R31" s="8">
        <f t="shared" si="9"/>
        <v>-1500000</v>
      </c>
      <c r="S31" s="8">
        <f t="shared" si="2"/>
        <v>-96000</v>
      </c>
      <c r="T31" s="38">
        <f t="shared" si="14"/>
        <v>-4988000.0000000037</v>
      </c>
      <c r="U31" s="8">
        <f t="shared" si="3"/>
        <v>25532848.024322052</v>
      </c>
      <c r="V31" s="8">
        <f t="shared" si="10"/>
        <v>28817353.869540438</v>
      </c>
      <c r="W31" s="8">
        <f t="shared" si="4"/>
        <v>30520848.024322055</v>
      </c>
      <c r="X31" s="8">
        <f t="shared" si="5"/>
        <v>540000</v>
      </c>
      <c r="Y31" s="8">
        <f t="shared" si="6"/>
        <v>1163494.1547816175</v>
      </c>
      <c r="Z31" s="8">
        <f t="shared" si="11"/>
        <v>15120000</v>
      </c>
      <c r="AA31" s="7">
        <f t="shared" si="12"/>
        <v>30</v>
      </c>
      <c r="AB31" s="7">
        <f t="shared" si="13"/>
        <v>26</v>
      </c>
      <c r="AC31" s="4" t="str">
        <f t="shared" si="15"/>
        <v>-</v>
      </c>
      <c r="AD31" s="4" t="str">
        <f t="shared" si="16"/>
        <v>-</v>
      </c>
      <c r="AE31" s="36">
        <f>IF(AND(AA31&gt;=4,AA31&lt;=6),$E$56,0)+IF(AND(AA31&gt;=7,AA31&lt;=12),$E$57,0)+IF(AND(AA31&gt;=13,AA31&lt;=15),$E$58,0)+IF(AND(AA31&gt;=16,AA31&lt;=18),$E$59,0)+IF(AND(AA31&gt;=19,AA31&lt;=22),$E$60,0)+IF(AND(AA31&gt;=23,AA31&lt;=24),$E$61,0)+IF(AA31=$B$47,$B$48,0)</f>
        <v>0</v>
      </c>
      <c r="AF31" s="36">
        <f>IF(AND(AB31&gt;=4,AB31&lt;=6),$E$65,0)+IF(AND(AB31&gt;=7,AB31&lt;=12),$E$66,0)+IF(AND(AB31&gt;=13,AB31&lt;=15),$E$67,0)+IF(AND(AB31&gt;=16,AB31&lt;=18),$E$68,0)+IF(AND(AB31&gt;=19,AB31&lt;=22),$E$69,0)+IF(AND(AB31&gt;=23,AB31&lt;=24),$E$70,0)+IF(AB31=$B$47,$B$48,0)</f>
        <v>0</v>
      </c>
      <c r="AG31" s="36">
        <f>IF(AND(AC31&gt;=4,AC31&lt;=6),$E$74,0)+IF(AND(AC31&gt;=7,AC31&lt;=12),$E$75,0)+IF(AND(AC31&gt;=13,AC31&lt;=15),$E$76,0)+IF(AND(AC31&gt;=16,AC31&lt;=18),$E$77,0)+IF(AND(AC31&gt;=19,AC31&lt;=22),$E$78,0)+IF(AND(AC31&gt;=23,AC31&lt;=24),$E$79,0)+IF(AC31=$B$47,$B$48,0)</f>
        <v>0</v>
      </c>
      <c r="AH31" s="36">
        <f>IF(AND(AD31&gt;=4,AD31&lt;=6),$E$83,0)+IF(AND(AD31&gt;=7,AD31&lt;=12),$E$84,0)+IF(AND(AD31&gt;=13,AD31&lt;=15),$E$85,0)+IF(AND(AD31&gt;=16,AD31&lt;=18),$E$86,0)+IF(AND(AD31&gt;=19,AD31&lt;=22),$E$87,0)+IF(AND(AD31&gt;=23,AD31&lt;=24),$E$88,0)+IF(AD31=$B$47,$B$48,0)</f>
        <v>0</v>
      </c>
      <c r="AI31" s="4"/>
      <c r="AJ31" s="2"/>
      <c r="AK31" s="2"/>
      <c r="AL31" s="2"/>
      <c r="AM31" s="2"/>
    </row>
    <row r="32" spans="1:39" ht="16" customHeight="1">
      <c r="A32" s="63" t="s">
        <v>117</v>
      </c>
      <c r="B32" s="23">
        <f>SUM(B22:B30)</f>
        <v>250070</v>
      </c>
      <c r="C32" s="23">
        <f>SUM(C22:C31)</f>
        <v>283000</v>
      </c>
      <c r="D32" s="2"/>
      <c r="E32" s="2"/>
      <c r="F32" s="7"/>
      <c r="G32" s="7"/>
      <c r="H32" s="7"/>
      <c r="I32" s="7"/>
      <c r="J32" s="7"/>
      <c r="K32" s="7"/>
      <c r="L32" s="7"/>
      <c r="M32" s="7"/>
      <c r="N32" s="4">
        <f t="shared" si="7"/>
        <v>29</v>
      </c>
      <c r="O32" s="8">
        <f t="shared" si="0"/>
        <v>61</v>
      </c>
      <c r="P32" s="8">
        <f t="shared" si="8"/>
        <v>4800000</v>
      </c>
      <c r="Q32" s="8">
        <f t="shared" si="1"/>
        <v>-3396000</v>
      </c>
      <c r="R32" s="8">
        <f t="shared" si="9"/>
        <v>0</v>
      </c>
      <c r="S32" s="8">
        <f t="shared" si="2"/>
        <v>1404000</v>
      </c>
      <c r="T32" s="38">
        <f t="shared" si="14"/>
        <v>-3584000.0000000037</v>
      </c>
      <c r="U32" s="8">
        <f t="shared" si="3"/>
        <v>28708481.945294935</v>
      </c>
      <c r="V32" s="8">
        <f t="shared" si="10"/>
        <v>30520848.024322055</v>
      </c>
      <c r="W32" s="8">
        <f t="shared" si="4"/>
        <v>32292481.945294939</v>
      </c>
      <c r="X32" s="8">
        <f t="shared" si="5"/>
        <v>540000</v>
      </c>
      <c r="Y32" s="8">
        <f t="shared" si="6"/>
        <v>1231633.9209728823</v>
      </c>
      <c r="Z32" s="8">
        <f t="shared" si="11"/>
        <v>15660000</v>
      </c>
      <c r="AA32" s="7">
        <f t="shared" si="12"/>
        <v>31</v>
      </c>
      <c r="AB32" s="7">
        <f t="shared" si="13"/>
        <v>27</v>
      </c>
      <c r="AC32" s="4" t="str">
        <f t="shared" si="15"/>
        <v>-</v>
      </c>
      <c r="AD32" s="4" t="str">
        <f t="shared" si="16"/>
        <v>-</v>
      </c>
      <c r="AE32" s="36">
        <f>IF(AND(AA32&gt;=4,AA32&lt;=6),$E$56,0)+IF(AND(AA32&gt;=7,AA32&lt;=12),$E$57,0)+IF(AND(AA32&gt;=13,AA32&lt;=15),$E$58,0)+IF(AND(AA32&gt;=16,AA32&lt;=18),$E$59,0)+IF(AND(AA32&gt;=19,AA32&lt;=22),$E$60,0)+IF(AND(AA32&gt;=23,AA32&lt;=24),$E$61,0)+IF(AA32=$B$47,$B$48,0)</f>
        <v>0</v>
      </c>
      <c r="AF32" s="36">
        <f>IF(AND(AB32&gt;=4,AB32&lt;=6),$E$65,0)+IF(AND(AB32&gt;=7,AB32&lt;=12),$E$66,0)+IF(AND(AB32&gt;=13,AB32&lt;=15),$E$67,0)+IF(AND(AB32&gt;=16,AB32&lt;=18),$E$68,0)+IF(AND(AB32&gt;=19,AB32&lt;=22),$E$69,0)+IF(AND(AB32&gt;=23,AB32&lt;=24),$E$70,0)+IF(AB32=$B$47,$B$48,0)</f>
        <v>0</v>
      </c>
      <c r="AG32" s="36">
        <f>IF(AND(AC32&gt;=4,AC32&lt;=6),$E$74,0)+IF(AND(AC32&gt;=7,AC32&lt;=12),$E$75,0)+IF(AND(AC32&gt;=13,AC32&lt;=15),$E$76,0)+IF(AND(AC32&gt;=16,AC32&lt;=18),$E$77,0)+IF(AND(AC32&gt;=19,AC32&lt;=22),$E$78,0)+IF(AND(AC32&gt;=23,AC32&lt;=24),$E$79,0)+IF(AC32=$B$47,$B$48,0)</f>
        <v>0</v>
      </c>
      <c r="AH32" s="36">
        <f>IF(AND(AD32&gt;=4,AD32&lt;=6),$E$83,0)+IF(AND(AD32&gt;=7,AD32&lt;=12),$E$84,0)+IF(AND(AD32&gt;=13,AD32&lt;=15),$E$85,0)+IF(AND(AD32&gt;=16,AD32&lt;=18),$E$86,0)+IF(AND(AD32&gt;=19,AD32&lt;=22),$E$87,0)+IF(AND(AD32&gt;=23,AD32&lt;=24),$E$88,0)+IF(AD32=$B$47,$B$48,0)</f>
        <v>0</v>
      </c>
      <c r="AI32" s="4"/>
      <c r="AJ32" s="2"/>
      <c r="AK32" s="2"/>
      <c r="AL32" s="2"/>
      <c r="AM32" s="2"/>
    </row>
    <row r="33" spans="1:39" ht="16" customHeight="1">
      <c r="A33" s="63" t="s">
        <v>40</v>
      </c>
      <c r="B33" s="24">
        <f>-B32</f>
        <v>-250070</v>
      </c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  <c r="N33" s="4">
        <f t="shared" si="7"/>
        <v>30</v>
      </c>
      <c r="O33" s="8">
        <f t="shared" si="0"/>
        <v>62</v>
      </c>
      <c r="P33" s="8">
        <f t="shared" si="8"/>
        <v>4800000</v>
      </c>
      <c r="Q33" s="8">
        <f t="shared" si="1"/>
        <v>-3396000</v>
      </c>
      <c r="R33" s="8">
        <f t="shared" si="9"/>
        <v>-500000</v>
      </c>
      <c r="S33" s="8">
        <f t="shared" si="2"/>
        <v>904000</v>
      </c>
      <c r="T33" s="38">
        <f t="shared" si="14"/>
        <v>-2680000.0000000037</v>
      </c>
      <c r="U33" s="8">
        <f t="shared" si="3"/>
        <v>31454981.223106731</v>
      </c>
      <c r="V33" s="8">
        <f t="shared" si="10"/>
        <v>32292481.945294939</v>
      </c>
      <c r="W33" s="8">
        <f t="shared" ref="W33:W64" si="17">V33+X33+Y33</f>
        <v>34134981.223106734</v>
      </c>
      <c r="X33" s="8">
        <f t="shared" si="5"/>
        <v>540000</v>
      </c>
      <c r="Y33" s="8">
        <f t="shared" si="6"/>
        <v>1302499.2778117976</v>
      </c>
      <c r="Z33" s="8">
        <f t="shared" si="11"/>
        <v>16200000</v>
      </c>
      <c r="AA33" s="7">
        <f t="shared" si="12"/>
        <v>32</v>
      </c>
      <c r="AB33" s="7">
        <f t="shared" si="13"/>
        <v>28</v>
      </c>
      <c r="AC33" s="4" t="str">
        <f t="shared" si="15"/>
        <v>-</v>
      </c>
      <c r="AD33" s="4" t="str">
        <f t="shared" si="16"/>
        <v>-</v>
      </c>
      <c r="AE33" s="36">
        <f>IF(AND(AA33&gt;=4,AA33&lt;=6),$E$56,0)+IF(AND(AA33&gt;=7,AA33&lt;=12),$E$57,0)+IF(AND(AA33&gt;=13,AA33&lt;=15),$E$58,0)+IF(AND(AA33&gt;=16,AA33&lt;=18),$E$59,0)+IF(AND(AA33&gt;=19,AA33&lt;=22),$E$60,0)+IF(AND(AA33&gt;=23,AA33&lt;=24),$E$61,0)+IF(AA33=$B$47,$B$48,0)</f>
        <v>0</v>
      </c>
      <c r="AF33" s="36">
        <f>IF(AND(AB33&gt;=4,AB33&lt;=6),$E$65,0)+IF(AND(AB33&gt;=7,AB33&lt;=12),$E$66,0)+IF(AND(AB33&gt;=13,AB33&lt;=15),$E$67,0)+IF(AND(AB33&gt;=16,AB33&lt;=18),$E$68,0)+IF(AND(AB33&gt;=19,AB33&lt;=22),$E$69,0)+IF(AND(AB33&gt;=23,AB33&lt;=24),$E$70,0)+IF(AB33=$B$47,$B$48,0)</f>
        <v>500000</v>
      </c>
      <c r="AG33" s="36">
        <f>IF(AND(AC33&gt;=4,AC33&lt;=6),$E$74,0)+IF(AND(AC33&gt;=7,AC33&lt;=12),$E$75,0)+IF(AND(AC33&gt;=13,AC33&lt;=15),$E$76,0)+IF(AND(AC33&gt;=16,AC33&lt;=18),$E$77,0)+IF(AND(AC33&gt;=19,AC33&lt;=22),$E$78,0)+IF(AND(AC33&gt;=23,AC33&lt;=24),$E$79,0)+IF(AC33=$B$47,$B$48,0)</f>
        <v>0</v>
      </c>
      <c r="AH33" s="36">
        <f>IF(AND(AD33&gt;=4,AD33&lt;=6),$E$83,0)+IF(AND(AD33&gt;=7,AD33&lt;=12),$E$84,0)+IF(AND(AD33&gt;=13,AD33&lt;=15),$E$85,0)+IF(AND(AD33&gt;=16,AD33&lt;=18),$E$86,0)+IF(AND(AD33&gt;=19,AD33&lt;=22),$E$87,0)+IF(AND(AD33&gt;=23,AD33&lt;=24),$E$88,0)+IF(AD33=$B$47,$B$48,0)</f>
        <v>0</v>
      </c>
      <c r="AI33" s="4"/>
      <c r="AJ33" s="2"/>
      <c r="AK33" s="2"/>
      <c r="AL33" s="2"/>
      <c r="AM33" s="2"/>
    </row>
    <row r="34" spans="1:39" ht="16" customHeight="1">
      <c r="A34" s="63" t="s">
        <v>41</v>
      </c>
      <c r="B34" s="24">
        <f ca="1">B19-B32</f>
        <v>1458.4000000000233</v>
      </c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  <c r="N34" s="4">
        <f t="shared" si="7"/>
        <v>31</v>
      </c>
      <c r="O34" s="8">
        <f t="shared" si="0"/>
        <v>63</v>
      </c>
      <c r="P34" s="8">
        <f t="shared" si="8"/>
        <v>4800000</v>
      </c>
      <c r="Q34" s="8">
        <f t="shared" si="1"/>
        <v>-3396000</v>
      </c>
      <c r="R34" s="8">
        <f t="shared" si="9"/>
        <v>0</v>
      </c>
      <c r="S34" s="8">
        <f t="shared" si="2"/>
        <v>1404000</v>
      </c>
      <c r="T34" s="38">
        <f t="shared" si="14"/>
        <v>-1276000.0000000037</v>
      </c>
      <c r="U34" s="8">
        <f t="shared" si="3"/>
        <v>34775180.472030997</v>
      </c>
      <c r="V34" s="8">
        <f t="shared" si="10"/>
        <v>34134981.223106734</v>
      </c>
      <c r="W34" s="8">
        <f t="shared" si="17"/>
        <v>36051180.472031005</v>
      </c>
      <c r="X34" s="8">
        <f t="shared" si="5"/>
        <v>540000</v>
      </c>
      <c r="Y34" s="8">
        <f t="shared" si="6"/>
        <v>1376199.2489242693</v>
      </c>
      <c r="Z34" s="8">
        <f t="shared" si="11"/>
        <v>16740000</v>
      </c>
      <c r="AA34" s="7">
        <f t="shared" si="12"/>
        <v>33</v>
      </c>
      <c r="AB34" s="7">
        <f t="shared" si="13"/>
        <v>29</v>
      </c>
      <c r="AC34" s="4" t="str">
        <f t="shared" si="15"/>
        <v>-</v>
      </c>
      <c r="AD34" s="4" t="str">
        <f t="shared" si="16"/>
        <v>-</v>
      </c>
      <c r="AE34" s="36">
        <f>IF(AND(AA34&gt;=4,AA34&lt;=6),$E$56,0)+IF(AND(AA34&gt;=7,AA34&lt;=12),$E$57,0)+IF(AND(AA34&gt;=13,AA34&lt;=15),$E$58,0)+IF(AND(AA34&gt;=16,AA34&lt;=18),$E$59,0)+IF(AND(AA34&gt;=19,AA34&lt;=22),$E$60,0)+IF(AND(AA34&gt;=23,AA34&lt;=24),$E$61,0)+IF(AA34=$B$47,$B$48,0)</f>
        <v>0</v>
      </c>
      <c r="AF34" s="36">
        <f>IF(AND(AB34&gt;=4,AB34&lt;=6),$E$65,0)+IF(AND(AB34&gt;=7,AB34&lt;=12),$E$66,0)+IF(AND(AB34&gt;=13,AB34&lt;=15),$E$67,0)+IF(AND(AB34&gt;=16,AB34&lt;=18),$E$68,0)+IF(AND(AB34&gt;=19,AB34&lt;=22),$E$69,0)+IF(AND(AB34&gt;=23,AB34&lt;=24),$E$70,0)+IF(AB34=$B$47,$B$48,0)</f>
        <v>0</v>
      </c>
      <c r="AG34" s="36">
        <f>IF(AND(AC34&gt;=4,AC34&lt;=6),$E$74,0)+IF(AND(AC34&gt;=7,AC34&lt;=12),$E$75,0)+IF(AND(AC34&gt;=13,AC34&lt;=15),$E$76,0)+IF(AND(AC34&gt;=16,AC34&lt;=18),$E$77,0)+IF(AND(AC34&gt;=19,AC34&lt;=22),$E$78,0)+IF(AND(AC34&gt;=23,AC34&lt;=24),$E$79,0)+IF(AC34=$B$47,$B$48,0)</f>
        <v>0</v>
      </c>
      <c r="AH34" s="36">
        <f>IF(AND(AD34&gt;=4,AD34&lt;=6),$E$83,0)+IF(AND(AD34&gt;=7,AD34&lt;=12),$E$84,0)+IF(AND(AD34&gt;=13,AD34&lt;=15),$E$85,0)+IF(AND(AD34&gt;=16,AD34&lt;=18),$E$86,0)+IF(AND(AD34&gt;=19,AD34&lt;=22),$E$87,0)+IF(AND(AD34&gt;=23,AD34&lt;=24),$E$88,0)+IF(AD34=$B$47,$B$48,0)</f>
        <v>0</v>
      </c>
      <c r="AI34" s="4"/>
      <c r="AJ34" s="2"/>
      <c r="AK34" s="2"/>
      <c r="AL34" s="2"/>
      <c r="AM34" s="2"/>
    </row>
    <row r="35" spans="1:39" ht="16" customHeight="1">
      <c r="A35" s="2"/>
      <c r="B35" s="2"/>
      <c r="C35" s="2"/>
      <c r="D35" s="2"/>
      <c r="E35" s="2" t="s">
        <v>128</v>
      </c>
      <c r="F35" s="7"/>
      <c r="G35" s="7"/>
      <c r="H35" s="7" t="s">
        <v>129</v>
      </c>
      <c r="I35" s="7"/>
      <c r="J35" s="7"/>
      <c r="K35" s="7"/>
      <c r="L35" s="7"/>
      <c r="M35" s="7"/>
      <c r="N35" s="4">
        <f t="shared" si="7"/>
        <v>32</v>
      </c>
      <c r="O35" s="8">
        <f t="shared" si="0"/>
        <v>64</v>
      </c>
      <c r="P35" s="8">
        <f t="shared" si="8"/>
        <v>4800000</v>
      </c>
      <c r="Q35" s="8">
        <f t="shared" si="1"/>
        <v>-3396000</v>
      </c>
      <c r="R35" s="8">
        <f t="shared" si="9"/>
        <v>0</v>
      </c>
      <c r="S35" s="8">
        <f t="shared" si="2"/>
        <v>1404000</v>
      </c>
      <c r="T35" s="38">
        <f t="shared" si="14"/>
        <v>127999.99999999627</v>
      </c>
      <c r="U35" s="8">
        <f t="shared" si="3"/>
        <v>38172027.690912247</v>
      </c>
      <c r="V35" s="8">
        <f t="shared" si="10"/>
        <v>36051180.472031005</v>
      </c>
      <c r="W35" s="8">
        <f t="shared" si="17"/>
        <v>38044027.690912247</v>
      </c>
      <c r="X35" s="8">
        <f t="shared" si="5"/>
        <v>540000</v>
      </c>
      <c r="Y35" s="8">
        <f t="shared" si="6"/>
        <v>1452847.2188812401</v>
      </c>
      <c r="Z35" s="8">
        <f t="shared" si="11"/>
        <v>17280000</v>
      </c>
      <c r="AA35" s="7">
        <f t="shared" si="12"/>
        <v>34</v>
      </c>
      <c r="AB35" s="7">
        <f t="shared" si="13"/>
        <v>30</v>
      </c>
      <c r="AC35" s="4" t="str">
        <f t="shared" si="15"/>
        <v>-</v>
      </c>
      <c r="AD35" s="4" t="str">
        <f t="shared" si="16"/>
        <v>-</v>
      </c>
      <c r="AE35" s="36">
        <f>IF(AND(AA35&gt;=4,AA35&lt;=6),$E$56,0)+IF(AND(AA35&gt;=7,AA35&lt;=12),$E$57,0)+IF(AND(AA35&gt;=13,AA35&lt;=15),$E$58,0)+IF(AND(AA35&gt;=16,AA35&lt;=18),$E$59,0)+IF(AND(AA35&gt;=19,AA35&lt;=22),$E$60,0)+IF(AND(AA35&gt;=23,AA35&lt;=24),$E$61,0)+IF(AA35=$B$47,$B$48,0)</f>
        <v>0</v>
      </c>
      <c r="AF35" s="36">
        <f>IF(AND(AB35&gt;=4,AB35&lt;=6),$E$65,0)+IF(AND(AB35&gt;=7,AB35&lt;=12),$E$66,0)+IF(AND(AB35&gt;=13,AB35&lt;=15),$E$67,0)+IF(AND(AB35&gt;=16,AB35&lt;=18),$E$68,0)+IF(AND(AB35&gt;=19,AB35&lt;=22),$E$69,0)+IF(AND(AB35&gt;=23,AB35&lt;=24),$E$70,0)+IF(AB35=$B$47,$B$48,0)</f>
        <v>0</v>
      </c>
      <c r="AG35" s="36">
        <f>IF(AND(AC35&gt;=4,AC35&lt;=6),$E$74,0)+IF(AND(AC35&gt;=7,AC35&lt;=12),$E$75,0)+IF(AND(AC35&gt;=13,AC35&lt;=15),$E$76,0)+IF(AND(AC35&gt;=16,AC35&lt;=18),$E$77,0)+IF(AND(AC35&gt;=19,AC35&lt;=22),$E$78,0)+IF(AND(AC35&gt;=23,AC35&lt;=24),$E$79,0)+IF(AC35=$B$47,$B$48,0)</f>
        <v>0</v>
      </c>
      <c r="AH35" s="36">
        <f>IF(AND(AD35&gt;=4,AD35&lt;=6),$E$83,0)+IF(AND(AD35&gt;=7,AD35&lt;=12),$E$84,0)+IF(AND(AD35&gt;=13,AD35&lt;=15),$E$85,0)+IF(AND(AD35&gt;=16,AD35&lt;=18),$E$86,0)+IF(AND(AD35&gt;=19,AD35&lt;=22),$E$87,0)+IF(AND(AD35&gt;=23,AD35&lt;=24),$E$88,0)+IF(AD35=$B$47,$B$48,0)</f>
        <v>0</v>
      </c>
      <c r="AI35" s="4"/>
      <c r="AJ35" s="2"/>
      <c r="AK35" s="2"/>
      <c r="AL35" s="2"/>
      <c r="AM35" s="2"/>
    </row>
    <row r="36" spans="1:39" ht="16" customHeight="1">
      <c r="A36" s="20" t="s">
        <v>50</v>
      </c>
      <c r="B36" s="2"/>
      <c r="C36" s="2"/>
      <c r="D36" s="2"/>
      <c r="E36" s="20" t="s">
        <v>126</v>
      </c>
      <c r="F36" s="26" t="s">
        <v>124</v>
      </c>
      <c r="H36" s="22" t="s">
        <v>130</v>
      </c>
      <c r="I36" s="20" t="s">
        <v>6</v>
      </c>
      <c r="J36" s="22" t="s">
        <v>124</v>
      </c>
      <c r="K36" s="22" t="s">
        <v>5</v>
      </c>
      <c r="N36" s="4">
        <f t="shared" si="7"/>
        <v>33</v>
      </c>
      <c r="O36" s="8">
        <f t="shared" ref="O36:O67" si="18">B$8+N36</f>
        <v>65</v>
      </c>
      <c r="P36" s="8">
        <f t="shared" ca="1" si="8"/>
        <v>2716506.72</v>
      </c>
      <c r="Q36" s="8">
        <f t="shared" ref="Q36:Q67" si="19">-IF(O36&lt;=B$10,C$32,B$32)*12+IF(O36&gt;B$25,B$24*12,0)</f>
        <v>-3396000</v>
      </c>
      <c r="R36" s="8">
        <f t="shared" si="9"/>
        <v>0</v>
      </c>
      <c r="S36" s="8">
        <f t="shared" ref="S36:S67" ca="1" si="20">SUM(P36:R36)</f>
        <v>-679493.2799999998</v>
      </c>
      <c r="T36" s="38">
        <f t="shared" ca="1" si="14"/>
        <v>-551493.28000000352</v>
      </c>
      <c r="U36" s="8">
        <f t="shared" ref="U36:U67" ca="1" si="21">T36+W36</f>
        <v>39181955.241639614</v>
      </c>
      <c r="V36" s="8">
        <f t="shared" si="10"/>
        <v>38044027.690912247</v>
      </c>
      <c r="W36" s="8">
        <f t="shared" si="17"/>
        <v>39733448.521639615</v>
      </c>
      <c r="X36" s="8">
        <f t="shared" ref="X36:X67" si="22">IF(O36&lt;=B$10,IF(O36&gt;=B$9,B$6*12,0),0)</f>
        <v>540000</v>
      </c>
      <c r="Y36" s="8">
        <f t="shared" ref="Y36:Y67" si="23">IF(V36&lt;0,0,((X36/2)+V36)*IF(O36&lt;B$10,B$7,B$38))</f>
        <v>1149420.8307273674</v>
      </c>
      <c r="Z36" s="8">
        <f t="shared" si="11"/>
        <v>17820000</v>
      </c>
      <c r="AA36" s="7">
        <f t="shared" si="12"/>
        <v>35</v>
      </c>
      <c r="AB36" s="7">
        <f t="shared" si="13"/>
        <v>31</v>
      </c>
      <c r="AC36" s="4" t="str">
        <f t="shared" si="15"/>
        <v>-</v>
      </c>
      <c r="AD36" s="4" t="str">
        <f t="shared" si="16"/>
        <v>-</v>
      </c>
      <c r="AE36" s="36">
        <f>IF(AND(AA36&gt;=4,AA36&lt;=6),$E$56,0)+IF(AND(AA36&gt;=7,AA36&lt;=12),$E$57,0)+IF(AND(AA36&gt;=13,AA36&lt;=15),$E$58,0)+IF(AND(AA36&gt;=16,AA36&lt;=18),$E$59,0)+IF(AND(AA36&gt;=19,AA36&lt;=22),$E$60,0)+IF(AND(AA36&gt;=23,AA36&lt;=24),$E$61,0)+IF(AA36=$B$47,$B$48,0)</f>
        <v>0</v>
      </c>
      <c r="AF36" s="36">
        <f>IF(AND(AB36&gt;=4,AB36&lt;=6),$E$65,0)+IF(AND(AB36&gt;=7,AB36&lt;=12),$E$66,0)+IF(AND(AB36&gt;=13,AB36&lt;=15),$E$67,0)+IF(AND(AB36&gt;=16,AB36&lt;=18),$E$68,0)+IF(AND(AB36&gt;=19,AB36&lt;=22),$E$69,0)+IF(AND(AB36&gt;=23,AB36&lt;=24),$E$70,0)+IF(AB36=$B$47,$B$48,0)</f>
        <v>0</v>
      </c>
      <c r="AG36" s="36">
        <f>IF(AND(AC36&gt;=4,AC36&lt;=6),$E$74,0)+IF(AND(AC36&gt;=7,AC36&lt;=12),$E$75,0)+IF(AND(AC36&gt;=13,AC36&lt;=15),$E$76,0)+IF(AND(AC36&gt;=16,AC36&lt;=18),$E$77,0)+IF(AND(AC36&gt;=19,AC36&lt;=22),$E$78,0)+IF(AND(AC36&gt;=23,AC36&lt;=24),$E$79,0)+IF(AC36=$B$47,$B$48,0)</f>
        <v>0</v>
      </c>
      <c r="AH36" s="36">
        <f>IF(AND(AD36&gt;=4,AD36&lt;=6),$E$83,0)+IF(AND(AD36&gt;=7,AD36&lt;=12),$E$84,0)+IF(AND(AD36&gt;=13,AD36&lt;=15),$E$85,0)+IF(AND(AD36&gt;=16,AD36&lt;=18),$E$86,0)+IF(AND(AD36&gt;=19,AD36&lt;=22),$E$87,0)+IF(AND(AD36&gt;=23,AD36&lt;=24),$E$88,0)+IF(AD36=$B$47,$B$48,0)</f>
        <v>0</v>
      </c>
      <c r="AI36" s="4"/>
    </row>
    <row r="37" spans="1:39" ht="16" customHeight="1">
      <c r="A37" s="63" t="s">
        <v>42</v>
      </c>
      <c r="B37" s="25">
        <f ca="1">VLOOKUP(B10,O$4:V$81,7)</f>
        <v>39181955.241639614</v>
      </c>
      <c r="C37" s="2" t="s">
        <v>63</v>
      </c>
      <c r="D37" s="2"/>
      <c r="E37" s="63" t="s">
        <v>125</v>
      </c>
      <c r="F37" s="25">
        <f ca="1">VLOOKUP(75,O$4:W$81,7)</f>
        <v>56003606.196057968</v>
      </c>
      <c r="H37" s="4">
        <v>1</v>
      </c>
      <c r="I37" s="4">
        <f t="shared" ref="I37:I51" si="24">B$8+H37</f>
        <v>33</v>
      </c>
      <c r="J37" s="8">
        <f t="shared" ref="J37:J51" si="25">VLOOKUP(I37,O4:U81,7)</f>
        <v>4994800</v>
      </c>
      <c r="K37" s="9">
        <f t="shared" ref="K37:K51" si="26">J37/B$5</f>
        <v>4.9947999999999997</v>
      </c>
      <c r="N37" s="4">
        <f t="shared" si="7"/>
        <v>34</v>
      </c>
      <c r="O37" s="8">
        <f t="shared" si="18"/>
        <v>66</v>
      </c>
      <c r="P37" s="8">
        <f t="shared" ca="1" si="8"/>
        <v>2716506.72</v>
      </c>
      <c r="Q37" s="8">
        <f t="shared" si="19"/>
        <v>-3000840</v>
      </c>
      <c r="R37" s="8">
        <f t="shared" si="9"/>
        <v>0</v>
      </c>
      <c r="S37" s="8">
        <f t="shared" ca="1" si="20"/>
        <v>-284333.2799999998</v>
      </c>
      <c r="T37" s="38">
        <f t="shared" ca="1" si="14"/>
        <v>-835826.56000000332</v>
      </c>
      <c r="U37" s="8">
        <f t="shared" ca="1" si="21"/>
        <v>40089625.417288803</v>
      </c>
      <c r="V37" s="8">
        <f t="shared" ref="V37:V68" si="27">V36+X36+Y36</f>
        <v>39733448.521639615</v>
      </c>
      <c r="W37" s="8">
        <f t="shared" si="17"/>
        <v>40925451.977288805</v>
      </c>
      <c r="X37" s="8">
        <f t="shared" si="22"/>
        <v>0</v>
      </c>
      <c r="Y37" s="8">
        <f t="shared" si="23"/>
        <v>1192003.4556491885</v>
      </c>
      <c r="Z37" s="8">
        <f t="shared" ref="Z37:Z68" si="28">Z36+X37</f>
        <v>17820000</v>
      </c>
      <c r="AA37" s="7">
        <f t="shared" si="12"/>
        <v>36</v>
      </c>
      <c r="AB37" s="7">
        <f t="shared" si="13"/>
        <v>32</v>
      </c>
      <c r="AC37" s="4" t="str">
        <f t="shared" si="15"/>
        <v>-</v>
      </c>
      <c r="AD37" s="4" t="str">
        <f t="shared" si="16"/>
        <v>-</v>
      </c>
      <c r="AE37" s="36">
        <f>IF(AND(AA37&gt;=4,AA37&lt;=6),$E$56,0)+IF(AND(AA37&gt;=7,AA37&lt;=12),$E$57,0)+IF(AND(AA37&gt;=13,AA37&lt;=15),$E$58,0)+IF(AND(AA37&gt;=16,AA37&lt;=18),$E$59,0)+IF(AND(AA37&gt;=19,AA37&lt;=22),$E$60,0)+IF(AND(AA37&gt;=23,AA37&lt;=24),$E$61,0)+IF(AA37=$B$47,$B$48,0)</f>
        <v>0</v>
      </c>
      <c r="AF37" s="36">
        <f>IF(AND(AB37&gt;=4,AB37&lt;=6),$E$65,0)+IF(AND(AB37&gt;=7,AB37&lt;=12),$E$66,0)+IF(AND(AB37&gt;=13,AB37&lt;=15),$E$67,0)+IF(AND(AB37&gt;=16,AB37&lt;=18),$E$68,0)+IF(AND(AB37&gt;=19,AB37&lt;=22),$E$69,0)+IF(AND(AB37&gt;=23,AB37&lt;=24),$E$70,0)+IF(AB37=$B$47,$B$48,0)</f>
        <v>0</v>
      </c>
      <c r="AG37" s="36">
        <f>IF(AND(AC37&gt;=4,AC37&lt;=6),$E$74,0)+IF(AND(AC37&gt;=7,AC37&lt;=12),$E$75,0)+IF(AND(AC37&gt;=13,AC37&lt;=15),$E$76,0)+IF(AND(AC37&gt;=16,AC37&lt;=18),$E$77,0)+IF(AND(AC37&gt;=19,AC37&lt;=22),$E$78,0)+IF(AND(AC37&gt;=23,AC37&lt;=24),$E$79,0)+IF(AC37=$B$47,$B$48,0)</f>
        <v>0</v>
      </c>
      <c r="AH37" s="36">
        <f>IF(AND(AD37&gt;=4,AD37&lt;=6),$E$83,0)+IF(AND(AD37&gt;=7,AD37&lt;=12),$E$84,0)+IF(AND(AD37&gt;=13,AD37&lt;=15),$E$85,0)+IF(AND(AD37&gt;=16,AD37&lt;=18),$E$86,0)+IF(AND(AD37&gt;=19,AD37&lt;=22),$E$87,0)+IF(AND(AD37&gt;=23,AD37&lt;=24),$E$88,0)+IF(AD37=$B$47,$B$48,0)</f>
        <v>0</v>
      </c>
      <c r="AI37" s="4"/>
    </row>
    <row r="38" spans="1:39" ht="16" customHeight="1">
      <c r="A38" s="63" t="s">
        <v>51</v>
      </c>
      <c r="B38" s="57">
        <v>0.03</v>
      </c>
      <c r="C38" s="2"/>
      <c r="D38" s="2"/>
      <c r="E38" s="63" t="s">
        <v>48</v>
      </c>
      <c r="F38" s="25">
        <f ca="1">VLOOKUP(80,O$4:W$81,7)</f>
        <v>69086925.665898338</v>
      </c>
      <c r="H38" s="4">
        <v>5</v>
      </c>
      <c r="I38" s="4">
        <f t="shared" si="24"/>
        <v>37</v>
      </c>
      <c r="J38" s="8">
        <f t="shared" si="25"/>
        <v>7169963.3684480004</v>
      </c>
      <c r="K38" s="9">
        <f t="shared" si="26"/>
        <v>7.1699633684480002</v>
      </c>
      <c r="N38" s="4">
        <f t="shared" si="7"/>
        <v>35</v>
      </c>
      <c r="O38" s="8">
        <f t="shared" si="18"/>
        <v>67</v>
      </c>
      <c r="P38" s="8">
        <f t="shared" ca="1" si="8"/>
        <v>2716506.72</v>
      </c>
      <c r="Q38" s="8">
        <f t="shared" si="19"/>
        <v>-3000840</v>
      </c>
      <c r="R38" s="8">
        <f t="shared" si="9"/>
        <v>0</v>
      </c>
      <c r="S38" s="8">
        <f t="shared" ca="1" si="20"/>
        <v>-284333.2799999998</v>
      </c>
      <c r="T38" s="38">
        <f t="shared" ca="1" si="14"/>
        <v>-1120159.8400000031</v>
      </c>
      <c r="U38" s="8">
        <f t="shared" ca="1" si="21"/>
        <v>41033055.696607463</v>
      </c>
      <c r="V38" s="8">
        <f t="shared" si="27"/>
        <v>40925451.977288805</v>
      </c>
      <c r="W38" s="8">
        <f t="shared" si="17"/>
        <v>42153215.536607467</v>
      </c>
      <c r="X38" s="8">
        <f t="shared" si="22"/>
        <v>0</v>
      </c>
      <c r="Y38" s="8">
        <f t="shared" si="23"/>
        <v>1227763.559318664</v>
      </c>
      <c r="Z38" s="8">
        <f t="shared" si="28"/>
        <v>17820000</v>
      </c>
      <c r="AA38" s="7">
        <f t="shared" si="12"/>
        <v>37</v>
      </c>
      <c r="AB38" s="7">
        <f t="shared" si="13"/>
        <v>33</v>
      </c>
      <c r="AC38" s="4" t="str">
        <f t="shared" si="15"/>
        <v>-</v>
      </c>
      <c r="AD38" s="4" t="str">
        <f t="shared" si="16"/>
        <v>-</v>
      </c>
      <c r="AE38" s="36">
        <f>IF(AND(AA38&gt;=4,AA38&lt;=6),$E$56,0)+IF(AND(AA38&gt;=7,AA38&lt;=12),$E$57,0)+IF(AND(AA38&gt;=13,AA38&lt;=15),$E$58,0)+IF(AND(AA38&gt;=16,AA38&lt;=18),$E$59,0)+IF(AND(AA38&gt;=19,AA38&lt;=22),$E$60,0)+IF(AND(AA38&gt;=23,AA38&lt;=24),$E$61,0)+IF(AA38=$B$47,$B$48,0)</f>
        <v>0</v>
      </c>
      <c r="AF38" s="36">
        <f>IF(AND(AB38&gt;=4,AB38&lt;=6),$E$65,0)+IF(AND(AB38&gt;=7,AB38&lt;=12),$E$66,0)+IF(AND(AB38&gt;=13,AB38&lt;=15),$E$67,0)+IF(AND(AB38&gt;=16,AB38&lt;=18),$E$68,0)+IF(AND(AB38&gt;=19,AB38&lt;=22),$E$69,0)+IF(AND(AB38&gt;=23,AB38&lt;=24),$E$70,0)+IF(AB38=$B$47,$B$48,0)</f>
        <v>0</v>
      </c>
      <c r="AG38" s="36">
        <f>IF(AND(AC38&gt;=4,AC38&lt;=6),$E$74,0)+IF(AND(AC38&gt;=7,AC38&lt;=12),$E$75,0)+IF(AND(AC38&gt;=13,AC38&lt;=15),$E$76,0)+IF(AND(AC38&gt;=16,AC38&lt;=18),$E$77,0)+IF(AND(AC38&gt;=19,AC38&lt;=22),$E$78,0)+IF(AND(AC38&gt;=23,AC38&lt;=24),$E$79,0)+IF(AC38=$B$47,$B$48,0)</f>
        <v>0</v>
      </c>
      <c r="AH38" s="36">
        <f>IF(AND(AD38&gt;=4,AD38&lt;=6),$E$83,0)+IF(AND(AD38&gt;=7,AD38&lt;=12),$E$84,0)+IF(AND(AD38&gt;=13,AD38&lt;=15),$E$85,0)+IF(AND(AD38&gt;=16,AD38&lt;=18),$E$86,0)+IF(AND(AD38&gt;=19,AD38&lt;=22),$E$87,0)+IF(AND(AD38&gt;=23,AD38&lt;=24),$E$88,0)+IF(AD38=$B$47,$B$48,0)</f>
        <v>0</v>
      </c>
      <c r="AI38" s="4"/>
    </row>
    <row r="39" spans="1:39" ht="16" customHeight="1">
      <c r="C39" s="2"/>
      <c r="D39" s="2"/>
      <c r="E39" s="63" t="s">
        <v>43</v>
      </c>
      <c r="F39" s="25">
        <f ca="1">VLOOKUP(85,O$4:W$81,7)</f>
        <v>83524868.887092128</v>
      </c>
      <c r="H39" s="4">
        <v>10</v>
      </c>
      <c r="I39" s="4">
        <f t="shared" si="24"/>
        <v>42</v>
      </c>
      <c r="J39" s="8">
        <f t="shared" si="25"/>
        <v>11633208.088243939</v>
      </c>
      <c r="K39" s="9">
        <f t="shared" si="26"/>
        <v>11.633208088243938</v>
      </c>
      <c r="N39" s="4">
        <f t="shared" si="7"/>
        <v>36</v>
      </c>
      <c r="O39" s="8">
        <f t="shared" si="18"/>
        <v>68</v>
      </c>
      <c r="P39" s="8">
        <f t="shared" ca="1" si="8"/>
        <v>2716506.72</v>
      </c>
      <c r="Q39" s="8">
        <f t="shared" si="19"/>
        <v>-3000840</v>
      </c>
      <c r="R39" s="8">
        <f t="shared" si="9"/>
        <v>0</v>
      </c>
      <c r="S39" s="8">
        <f t="shared" ca="1" si="20"/>
        <v>-284333.2799999998</v>
      </c>
      <c r="T39" s="38">
        <f t="shared" ca="1" si="14"/>
        <v>-1404493.1200000029</v>
      </c>
      <c r="U39" s="8">
        <f t="shared" ca="1" si="21"/>
        <v>42013318.882705688</v>
      </c>
      <c r="V39" s="8">
        <f t="shared" si="27"/>
        <v>42153215.536607467</v>
      </c>
      <c r="W39" s="8">
        <f t="shared" si="17"/>
        <v>43417812.002705693</v>
      </c>
      <c r="X39" s="8">
        <f t="shared" si="22"/>
        <v>0</v>
      </c>
      <c r="Y39" s="8">
        <f t="shared" si="23"/>
        <v>1264596.466098224</v>
      </c>
      <c r="Z39" s="8">
        <f t="shared" si="28"/>
        <v>17820000</v>
      </c>
      <c r="AA39" s="7">
        <f t="shared" si="12"/>
        <v>38</v>
      </c>
      <c r="AB39" s="7">
        <f t="shared" si="13"/>
        <v>34</v>
      </c>
      <c r="AC39" s="4" t="str">
        <f t="shared" si="15"/>
        <v>-</v>
      </c>
      <c r="AD39" s="4" t="str">
        <f t="shared" si="16"/>
        <v>-</v>
      </c>
      <c r="AE39" s="36">
        <f>IF(AND(AA39&gt;=4,AA39&lt;=6),$E$56,0)+IF(AND(AA39&gt;=7,AA39&lt;=12),$E$57,0)+IF(AND(AA39&gt;=13,AA39&lt;=15),$E$58,0)+IF(AND(AA39&gt;=16,AA39&lt;=18),$E$59,0)+IF(AND(AA39&gt;=19,AA39&lt;=22),$E$60,0)+IF(AND(AA39&gt;=23,AA39&lt;=24),$E$61,0)+IF(AA39=$B$47,$B$48,0)</f>
        <v>0</v>
      </c>
      <c r="AF39" s="36">
        <f>IF(AND(AB39&gt;=4,AB39&lt;=6),$E$65,0)+IF(AND(AB39&gt;=7,AB39&lt;=12),$E$66,0)+IF(AND(AB39&gt;=13,AB39&lt;=15),$E$67,0)+IF(AND(AB39&gt;=16,AB39&lt;=18),$E$68,0)+IF(AND(AB39&gt;=19,AB39&lt;=22),$E$69,0)+IF(AND(AB39&gt;=23,AB39&lt;=24),$E$70,0)+IF(AB39=$B$47,$B$48,0)</f>
        <v>0</v>
      </c>
      <c r="AG39" s="36">
        <f>IF(AND(AC39&gt;=4,AC39&lt;=6),$E$74,0)+IF(AND(AC39&gt;=7,AC39&lt;=12),$E$75,0)+IF(AND(AC39&gt;=13,AC39&lt;=15),$E$76,0)+IF(AND(AC39&gt;=16,AC39&lt;=18),$E$77,0)+IF(AND(AC39&gt;=19,AC39&lt;=22),$E$78,0)+IF(AND(AC39&gt;=23,AC39&lt;=24),$E$79,0)+IF(AC39=$B$47,$B$48,0)</f>
        <v>0</v>
      </c>
      <c r="AH39" s="36">
        <f>IF(AND(AD39&gt;=4,AD39&lt;=6),$E$83,0)+IF(AND(AD39&gt;=7,AD39&lt;=12),$E$84,0)+IF(AND(AD39&gt;=13,AD39&lt;=15),$E$85,0)+IF(AND(AD39&gt;=16,AD39&lt;=18),$E$86,0)+IF(AND(AD39&gt;=19,AD39&lt;=22),$E$87,0)+IF(AND(AD39&gt;=23,AD39&lt;=24),$E$88,0)+IF(AD39=$B$47,$B$48,0)</f>
        <v>0</v>
      </c>
      <c r="AI39" s="4"/>
    </row>
    <row r="40" spans="1:39" ht="16" customHeight="1">
      <c r="A40" s="7" t="s">
        <v>52</v>
      </c>
      <c r="E40" s="63" t="s">
        <v>44</v>
      </c>
      <c r="F40" s="25">
        <f ca="1">VLOOKUP(90,O$4:W$81,7)</f>
        <v>99533192.303660929</v>
      </c>
      <c r="H40" s="4">
        <v>15</v>
      </c>
      <c r="I40" s="4">
        <f t="shared" si="24"/>
        <v>47</v>
      </c>
      <c r="J40" s="8">
        <f t="shared" si="25"/>
        <v>13123268.909670476</v>
      </c>
      <c r="K40" s="9">
        <f t="shared" si="26"/>
        <v>13.123268909670475</v>
      </c>
      <c r="N40" s="4">
        <f t="shared" si="7"/>
        <v>37</v>
      </c>
      <c r="O40" s="8">
        <f t="shared" si="18"/>
        <v>69</v>
      </c>
      <c r="P40" s="8">
        <f t="shared" ca="1" si="8"/>
        <v>2716506.72</v>
      </c>
      <c r="Q40" s="8">
        <f t="shared" si="19"/>
        <v>-3000840</v>
      </c>
      <c r="R40" s="8">
        <f t="shared" si="9"/>
        <v>0</v>
      </c>
      <c r="S40" s="8">
        <f t="shared" ca="1" si="20"/>
        <v>-284333.2799999998</v>
      </c>
      <c r="T40" s="38">
        <f t="shared" ca="1" si="14"/>
        <v>-1688826.4000000027</v>
      </c>
      <c r="U40" s="8">
        <f t="shared" ca="1" si="21"/>
        <v>43031519.962786861</v>
      </c>
      <c r="V40" s="8">
        <f t="shared" si="27"/>
        <v>43417812.002705693</v>
      </c>
      <c r="W40" s="8">
        <f t="shared" si="17"/>
        <v>44720346.362786867</v>
      </c>
      <c r="X40" s="8">
        <f t="shared" si="22"/>
        <v>0</v>
      </c>
      <c r="Y40" s="8">
        <f t="shared" si="23"/>
        <v>1302534.3600811707</v>
      </c>
      <c r="Z40" s="8">
        <f t="shared" si="28"/>
        <v>17820000</v>
      </c>
      <c r="AA40" s="7">
        <f t="shared" si="12"/>
        <v>39</v>
      </c>
      <c r="AB40" s="7">
        <f t="shared" si="13"/>
        <v>35</v>
      </c>
      <c r="AC40" s="4" t="str">
        <f t="shared" si="15"/>
        <v>-</v>
      </c>
      <c r="AD40" s="4" t="str">
        <f t="shared" si="16"/>
        <v>-</v>
      </c>
      <c r="AE40" s="36">
        <f>IF(AND(AA40&gt;=4,AA40&lt;=6),$E$56,0)+IF(AND(AA40&gt;=7,AA40&lt;=12),$E$57,0)+IF(AND(AA40&gt;=13,AA40&lt;=15),$E$58,0)+IF(AND(AA40&gt;=16,AA40&lt;=18),$E$59,0)+IF(AND(AA40&gt;=19,AA40&lt;=22),$E$60,0)+IF(AND(AA40&gt;=23,AA40&lt;=24),$E$61,0)+IF(AA40=$B$47,$B$48,0)</f>
        <v>0</v>
      </c>
      <c r="AF40" s="36">
        <f>IF(AND(AB40&gt;=4,AB40&lt;=6),$E$65,0)+IF(AND(AB40&gt;=7,AB40&lt;=12),$E$66,0)+IF(AND(AB40&gt;=13,AB40&lt;=15),$E$67,0)+IF(AND(AB40&gt;=16,AB40&lt;=18),$E$68,0)+IF(AND(AB40&gt;=19,AB40&lt;=22),$E$69,0)+IF(AND(AB40&gt;=23,AB40&lt;=24),$E$70,0)+IF(AB40=$B$47,$B$48,0)</f>
        <v>0</v>
      </c>
      <c r="AG40" s="36">
        <f>IF(AND(AC40&gt;=4,AC40&lt;=6),$E$74,0)+IF(AND(AC40&gt;=7,AC40&lt;=12),$E$75,0)+IF(AND(AC40&gt;=13,AC40&lt;=15),$E$76,0)+IF(AND(AC40&gt;=16,AC40&lt;=18),$E$77,0)+IF(AND(AC40&gt;=19,AC40&lt;=22),$E$78,0)+IF(AND(AC40&gt;=23,AC40&lt;=24),$E$79,0)+IF(AC40=$B$47,$B$48,0)</f>
        <v>0</v>
      </c>
      <c r="AH40" s="36">
        <f>IF(AND(AD40&gt;=4,AD40&lt;=6),$E$83,0)+IF(AND(AD40&gt;=7,AD40&lt;=12),$E$84,0)+IF(AND(AD40&gt;=13,AD40&lt;=15),$E$85,0)+IF(AND(AD40&gt;=16,AD40&lt;=18),$E$86,0)+IF(AND(AD40&gt;=19,AD40&lt;=22),$E$87,0)+IF(AND(AD40&gt;=23,AD40&lt;=24),$E$88,0)+IF(AD40=$B$47,$B$48,0)</f>
        <v>0</v>
      </c>
      <c r="AI40" s="4"/>
    </row>
    <row r="41" spans="1:39" ht="16" customHeight="1">
      <c r="A41" s="63" t="s">
        <v>106</v>
      </c>
      <c r="B41" s="28">
        <v>28</v>
      </c>
      <c r="C41" s="21" t="s">
        <v>59</v>
      </c>
      <c r="E41" s="63" t="s">
        <v>45</v>
      </c>
      <c r="F41" s="25">
        <f ca="1">VLOOKUP(95,O$4:W$81,7)</f>
        <v>117362016.76752214</v>
      </c>
      <c r="H41" s="4">
        <v>20</v>
      </c>
      <c r="I41" s="4">
        <f t="shared" si="24"/>
        <v>52</v>
      </c>
      <c r="J41" s="8">
        <f t="shared" si="25"/>
        <v>10972888.822603598</v>
      </c>
      <c r="K41" s="9">
        <f t="shared" si="26"/>
        <v>10.972888822603599</v>
      </c>
      <c r="N41" s="4">
        <f t="shared" si="7"/>
        <v>38</v>
      </c>
      <c r="O41" s="8">
        <f t="shared" si="18"/>
        <v>70</v>
      </c>
      <c r="P41" s="8">
        <f t="shared" ca="1" si="8"/>
        <v>2716506.72</v>
      </c>
      <c r="Q41" s="8">
        <f t="shared" si="19"/>
        <v>-3000840</v>
      </c>
      <c r="R41" s="8">
        <f t="shared" si="9"/>
        <v>0</v>
      </c>
      <c r="S41" s="8">
        <f t="shared" ca="1" si="20"/>
        <v>-284333.2799999998</v>
      </c>
      <c r="T41" s="38">
        <f t="shared" ca="1" si="14"/>
        <v>-1973159.6800000025</v>
      </c>
      <c r="U41" s="8">
        <f t="shared" ca="1" si="21"/>
        <v>44088797.073670469</v>
      </c>
      <c r="V41" s="8">
        <f t="shared" si="27"/>
        <v>44720346.362786867</v>
      </c>
      <c r="W41" s="8">
        <f t="shared" si="17"/>
        <v>46061956.753670469</v>
      </c>
      <c r="X41" s="8">
        <f t="shared" si="22"/>
        <v>0</v>
      </c>
      <c r="Y41" s="8">
        <f t="shared" si="23"/>
        <v>1341610.3908836059</v>
      </c>
      <c r="Z41" s="8">
        <f t="shared" si="28"/>
        <v>17820000</v>
      </c>
      <c r="AA41" s="7">
        <f t="shared" si="12"/>
        <v>40</v>
      </c>
      <c r="AB41" s="7">
        <f t="shared" si="13"/>
        <v>36</v>
      </c>
      <c r="AC41" s="4" t="str">
        <f t="shared" si="15"/>
        <v>-</v>
      </c>
      <c r="AD41" s="4" t="str">
        <f t="shared" si="16"/>
        <v>-</v>
      </c>
      <c r="AE41" s="36">
        <f>IF(AND(AA41&gt;=4,AA41&lt;=6),$E$56,0)+IF(AND(AA41&gt;=7,AA41&lt;=12),$E$57,0)+IF(AND(AA41&gt;=13,AA41&lt;=15),$E$58,0)+IF(AND(AA41&gt;=16,AA41&lt;=18),$E$59,0)+IF(AND(AA41&gt;=19,AA41&lt;=22),$E$60,0)+IF(AND(AA41&gt;=23,AA41&lt;=24),$E$61,0)+IF(AA41=$B$47,$B$48,0)</f>
        <v>0</v>
      </c>
      <c r="AF41" s="36">
        <f>IF(AND(AB41&gt;=4,AB41&lt;=6),$E$65,0)+IF(AND(AB41&gt;=7,AB41&lt;=12),$E$66,0)+IF(AND(AB41&gt;=13,AB41&lt;=15),$E$67,0)+IF(AND(AB41&gt;=16,AB41&lt;=18),$E$68,0)+IF(AND(AB41&gt;=19,AB41&lt;=22),$E$69,0)+IF(AND(AB41&gt;=23,AB41&lt;=24),$E$70,0)+IF(AB41=$B$47,$B$48,0)</f>
        <v>0</v>
      </c>
      <c r="AG41" s="36">
        <f>IF(AND(AC41&gt;=4,AC41&lt;=6),$E$74,0)+IF(AND(AC41&gt;=7,AC41&lt;=12),$E$75,0)+IF(AND(AC41&gt;=13,AC41&lt;=15),$E$76,0)+IF(AND(AC41&gt;=16,AC41&lt;=18),$E$77,0)+IF(AND(AC41&gt;=19,AC41&lt;=22),$E$78,0)+IF(AND(AC41&gt;=23,AC41&lt;=24),$E$79,0)+IF(AC41=$B$47,$B$48,0)</f>
        <v>0</v>
      </c>
      <c r="AH41" s="36">
        <f>IF(AND(AD41&gt;=4,AD41&lt;=6),$E$83,0)+IF(AND(AD41&gt;=7,AD41&lt;=12),$E$84,0)+IF(AND(AD41&gt;=13,AD41&lt;=15),$E$85,0)+IF(AND(AD41&gt;=16,AD41&lt;=18),$E$86,0)+IF(AND(AD41&gt;=19,AD41&lt;=22),$E$87,0)+IF(AND(AD41&gt;=23,AD41&lt;=24),$E$88,0)+IF(AD41=$B$47,$B$48,0)</f>
        <v>0</v>
      </c>
      <c r="AI41" s="4"/>
    </row>
    <row r="42" spans="1:39" ht="16" customHeight="1">
      <c r="A42" s="63" t="s">
        <v>105</v>
      </c>
      <c r="B42" s="34">
        <v>1500000</v>
      </c>
      <c r="C42" s="21" t="s">
        <v>63</v>
      </c>
      <c r="E42" s="63" t="s">
        <v>46</v>
      </c>
      <c r="F42" s="25">
        <f ca="1">VLOOKUP(100,O$4:W$81,7)</f>
        <v>137301300.89774543</v>
      </c>
      <c r="H42" s="4">
        <v>25</v>
      </c>
      <c r="I42" s="4">
        <f t="shared" si="24"/>
        <v>57</v>
      </c>
      <c r="J42" s="8">
        <f t="shared" si="25"/>
        <v>18404402.61606919</v>
      </c>
      <c r="K42" s="9">
        <f t="shared" si="26"/>
        <v>18.404402616069191</v>
      </c>
      <c r="N42" s="4">
        <f t="shared" si="7"/>
        <v>39</v>
      </c>
      <c r="O42" s="8">
        <f t="shared" si="18"/>
        <v>71</v>
      </c>
      <c r="P42" s="8">
        <f t="shared" ca="1" si="8"/>
        <v>2716506.72</v>
      </c>
      <c r="Q42" s="8">
        <f t="shared" si="19"/>
        <v>-1800840</v>
      </c>
      <c r="R42" s="8">
        <f t="shared" si="9"/>
        <v>0</v>
      </c>
      <c r="S42" s="8">
        <f t="shared" ca="1" si="20"/>
        <v>915666.7200000002</v>
      </c>
      <c r="T42" s="38">
        <f t="shared" ca="1" si="14"/>
        <v>-1057492.9600000023</v>
      </c>
      <c r="U42" s="8">
        <f t="shared" ca="1" si="21"/>
        <v>46386322.496280581</v>
      </c>
      <c r="V42" s="8">
        <f t="shared" si="27"/>
        <v>46061956.753670469</v>
      </c>
      <c r="W42" s="8">
        <f t="shared" si="17"/>
        <v>47443815.456280582</v>
      </c>
      <c r="X42" s="8">
        <f t="shared" si="22"/>
        <v>0</v>
      </c>
      <c r="Y42" s="8">
        <f t="shared" si="23"/>
        <v>1381858.7026101141</v>
      </c>
      <c r="Z42" s="8">
        <f t="shared" si="28"/>
        <v>17820000</v>
      </c>
      <c r="AA42" s="7">
        <f t="shared" si="12"/>
        <v>41</v>
      </c>
      <c r="AB42" s="7">
        <f t="shared" si="13"/>
        <v>37</v>
      </c>
      <c r="AC42" s="4" t="str">
        <f t="shared" si="15"/>
        <v>-</v>
      </c>
      <c r="AD42" s="4" t="str">
        <f t="shared" si="16"/>
        <v>-</v>
      </c>
      <c r="AE42" s="36">
        <f>IF(AND(AA42&gt;=4,AA42&lt;=6),$E$56,0)+IF(AND(AA42&gt;=7,AA42&lt;=12),$E$57,0)+IF(AND(AA42&gt;=13,AA42&lt;=15),$E$58,0)+IF(AND(AA42&gt;=16,AA42&lt;=18),$E$59,0)+IF(AND(AA42&gt;=19,AA42&lt;=22),$E$60,0)+IF(AND(AA42&gt;=23,AA42&lt;=24),$E$61,0)+IF(AA42=$B$47,$B$48,0)</f>
        <v>0</v>
      </c>
      <c r="AF42" s="36">
        <f>IF(AND(AB42&gt;=4,AB42&lt;=6),$E$65,0)+IF(AND(AB42&gt;=7,AB42&lt;=12),$E$66,0)+IF(AND(AB42&gt;=13,AB42&lt;=15),$E$67,0)+IF(AND(AB42&gt;=16,AB42&lt;=18),$E$68,0)+IF(AND(AB42&gt;=19,AB42&lt;=22),$E$69,0)+IF(AND(AB42&gt;=23,AB42&lt;=24),$E$70,0)+IF(AB42=$B$47,$B$48,0)</f>
        <v>0</v>
      </c>
      <c r="AG42" s="36">
        <f>IF(AND(AC42&gt;=4,AC42&lt;=6),$E$74,0)+IF(AND(AC42&gt;=7,AC42&lt;=12),$E$75,0)+IF(AND(AC42&gt;=13,AC42&lt;=15),$E$76,0)+IF(AND(AC42&gt;=16,AC42&lt;=18),$E$77,0)+IF(AND(AC42&gt;=19,AC42&lt;=22),$E$78,0)+IF(AND(AC42&gt;=23,AC42&lt;=24),$E$79,0)+IF(AC42=$B$47,$B$48,0)</f>
        <v>0</v>
      </c>
      <c r="AH42" s="36">
        <f>IF(AND(AD42&gt;=4,AD42&lt;=6),$E$83,0)+IF(AND(AD42&gt;=7,AD42&lt;=12),$E$84,0)+IF(AND(AD42&gt;=13,AD42&lt;=15),$E$85,0)+IF(AND(AD42&gt;=16,AD42&lt;=18),$E$86,0)+IF(AND(AD42&gt;=19,AD42&lt;=22),$E$87,0)+IF(AND(AD42&gt;=23,AD42&lt;=24),$E$88,0)+IF(AD42=$B$47,$B$48,0)</f>
        <v>0</v>
      </c>
      <c r="AI42" s="4"/>
    </row>
    <row r="43" spans="1:39" ht="16" customHeight="1">
      <c r="A43" s="61" t="s">
        <v>86</v>
      </c>
      <c r="B43" s="28">
        <v>29</v>
      </c>
      <c r="C43" s="21" t="s">
        <v>59</v>
      </c>
      <c r="E43" s="63" t="s">
        <v>47</v>
      </c>
      <c r="F43" s="25">
        <f ca="1">VLOOKUP(105,O$4:W$81,7)</f>
        <v>159687186.20403817</v>
      </c>
      <c r="H43" s="4">
        <v>30</v>
      </c>
      <c r="I43" s="4">
        <f t="shared" si="24"/>
        <v>62</v>
      </c>
      <c r="J43" s="8">
        <f t="shared" si="25"/>
        <v>31454981.223106731</v>
      </c>
      <c r="K43" s="9">
        <f t="shared" si="26"/>
        <v>31.454981223106731</v>
      </c>
      <c r="N43" s="4">
        <f t="shared" si="7"/>
        <v>40</v>
      </c>
      <c r="O43" s="8">
        <f t="shared" si="18"/>
        <v>72</v>
      </c>
      <c r="P43" s="8">
        <f t="shared" ca="1" si="8"/>
        <v>2716506.72</v>
      </c>
      <c r="Q43" s="8">
        <f t="shared" si="19"/>
        <v>-1800840</v>
      </c>
      <c r="R43" s="8">
        <f t="shared" si="9"/>
        <v>0</v>
      </c>
      <c r="S43" s="8">
        <f t="shared" ca="1" si="20"/>
        <v>915666.7200000002</v>
      </c>
      <c r="T43" s="38">
        <f t="shared" ca="1" si="14"/>
        <v>-141826.24000000209</v>
      </c>
      <c r="U43" s="8">
        <f t="shared" ca="1" si="21"/>
        <v>48725303.679968998</v>
      </c>
      <c r="V43" s="8">
        <f t="shared" si="27"/>
        <v>47443815.456280582</v>
      </c>
      <c r="W43" s="8">
        <f t="shared" si="17"/>
        <v>48867129.919969</v>
      </c>
      <c r="X43" s="8">
        <f t="shared" si="22"/>
        <v>0</v>
      </c>
      <c r="Y43" s="8">
        <f t="shared" si="23"/>
        <v>1423314.4636884173</v>
      </c>
      <c r="Z43" s="8">
        <f t="shared" si="28"/>
        <v>17820000</v>
      </c>
      <c r="AA43" s="7">
        <f t="shared" si="12"/>
        <v>42</v>
      </c>
      <c r="AB43" s="7">
        <f t="shared" si="13"/>
        <v>38</v>
      </c>
      <c r="AC43" s="4" t="str">
        <f t="shared" si="15"/>
        <v>-</v>
      </c>
      <c r="AD43" s="4" t="str">
        <f t="shared" si="16"/>
        <v>-</v>
      </c>
      <c r="AE43" s="36">
        <f>IF(AND(AA43&gt;=4,AA43&lt;=6),$E$56,0)+IF(AND(AA43&gt;=7,AA43&lt;=12),$E$57,0)+IF(AND(AA43&gt;=13,AA43&lt;=15),$E$58,0)+IF(AND(AA43&gt;=16,AA43&lt;=18),$E$59,0)+IF(AND(AA43&gt;=19,AA43&lt;=22),$E$60,0)+IF(AND(AA43&gt;=23,AA43&lt;=24),$E$61,0)+IF(AA43=$B$47,$B$48,0)</f>
        <v>0</v>
      </c>
      <c r="AF43" s="36">
        <f>IF(AND(AB43&gt;=4,AB43&lt;=6),$E$65,0)+IF(AND(AB43&gt;=7,AB43&lt;=12),$E$66,0)+IF(AND(AB43&gt;=13,AB43&lt;=15),$E$67,0)+IF(AND(AB43&gt;=16,AB43&lt;=18),$E$68,0)+IF(AND(AB43&gt;=19,AB43&lt;=22),$E$69,0)+IF(AND(AB43&gt;=23,AB43&lt;=24),$E$70,0)+IF(AB43=$B$47,$B$48,0)</f>
        <v>0</v>
      </c>
      <c r="AG43" s="36">
        <f>IF(AND(AC43&gt;=4,AC43&lt;=6),$E$74,0)+IF(AND(AC43&gt;=7,AC43&lt;=12),$E$75,0)+IF(AND(AC43&gt;=13,AC43&lt;=15),$E$76,0)+IF(AND(AC43&gt;=16,AC43&lt;=18),$E$77,0)+IF(AND(AC43&gt;=19,AC43&lt;=22),$E$78,0)+IF(AND(AC43&gt;=23,AC43&lt;=24),$E$79,0)+IF(AC43=$B$47,$B$48,0)</f>
        <v>0</v>
      </c>
      <c r="AH43" s="36">
        <f>IF(AND(AD43&gt;=4,AD43&lt;=6),$E$83,0)+IF(AND(AD43&gt;=7,AD43&lt;=12),$E$84,0)+IF(AND(AD43&gt;=13,AD43&lt;=15),$E$85,0)+IF(AND(AD43&gt;=16,AD43&lt;=18),$E$86,0)+IF(AND(AD43&gt;=19,AD43&lt;=22),$E$87,0)+IF(AND(AD43&gt;=23,AD43&lt;=24),$E$88,0)+IF(AD43=$B$47,$B$48,0)</f>
        <v>0</v>
      </c>
      <c r="AI43" s="4"/>
    </row>
    <row r="44" spans="1:39" ht="16" customHeight="1">
      <c r="A44" s="61" t="s">
        <v>87</v>
      </c>
      <c r="B44" s="28">
        <v>33</v>
      </c>
      <c r="C44" s="21" t="s">
        <v>59</v>
      </c>
      <c r="H44" s="4">
        <v>35</v>
      </c>
      <c r="I44" s="4">
        <f t="shared" si="24"/>
        <v>67</v>
      </c>
      <c r="J44" s="8">
        <f t="shared" ca="1" si="25"/>
        <v>41033055.696607463</v>
      </c>
      <c r="K44" s="9">
        <f t="shared" ca="1" si="26"/>
        <v>41.033055696607462</v>
      </c>
      <c r="N44" s="4">
        <f t="shared" si="7"/>
        <v>41</v>
      </c>
      <c r="O44" s="8">
        <f t="shared" si="18"/>
        <v>73</v>
      </c>
      <c r="P44" s="8">
        <f t="shared" ca="1" si="8"/>
        <v>2716506.72</v>
      </c>
      <c r="Q44" s="8">
        <f t="shared" si="19"/>
        <v>-1800840</v>
      </c>
      <c r="R44" s="8">
        <f t="shared" si="9"/>
        <v>0</v>
      </c>
      <c r="S44" s="8">
        <f t="shared" ca="1" si="20"/>
        <v>915666.7200000002</v>
      </c>
      <c r="T44" s="38">
        <f t="shared" ca="1" si="14"/>
        <v>773840.47999999812</v>
      </c>
      <c r="U44" s="8">
        <f t="shared" ca="1" si="21"/>
        <v>51106984.297568068</v>
      </c>
      <c r="V44" s="8">
        <f t="shared" si="27"/>
        <v>48867129.919969</v>
      </c>
      <c r="W44" s="8">
        <f t="shared" si="17"/>
        <v>50333143.817568071</v>
      </c>
      <c r="X44" s="8">
        <f t="shared" si="22"/>
        <v>0</v>
      </c>
      <c r="Y44" s="8">
        <f t="shared" si="23"/>
        <v>1466013.8975990699</v>
      </c>
      <c r="Z44" s="8">
        <f t="shared" si="28"/>
        <v>17820000</v>
      </c>
      <c r="AA44" s="7">
        <f t="shared" si="12"/>
        <v>43</v>
      </c>
      <c r="AB44" s="7">
        <f t="shared" si="13"/>
        <v>39</v>
      </c>
      <c r="AC44" s="4" t="str">
        <f t="shared" si="15"/>
        <v>-</v>
      </c>
      <c r="AD44" s="4" t="str">
        <f t="shared" si="16"/>
        <v>-</v>
      </c>
      <c r="AE44" s="36">
        <f>IF(AND(AA44&gt;=4,AA44&lt;=6),$E$56,0)+IF(AND(AA44&gt;=7,AA44&lt;=12),$E$57,0)+IF(AND(AA44&gt;=13,AA44&lt;=15),$E$58,0)+IF(AND(AA44&gt;=16,AA44&lt;=18),$E$59,0)+IF(AND(AA44&gt;=19,AA44&lt;=22),$E$60,0)+IF(AND(AA44&gt;=23,AA44&lt;=24),$E$61,0)+IF(AA44=$B$47,$B$48,0)</f>
        <v>0</v>
      </c>
      <c r="AF44" s="36">
        <f>IF(AND(AB44&gt;=4,AB44&lt;=6),$E$65,0)+IF(AND(AB44&gt;=7,AB44&lt;=12),$E$66,0)+IF(AND(AB44&gt;=13,AB44&lt;=15),$E$67,0)+IF(AND(AB44&gt;=16,AB44&lt;=18),$E$68,0)+IF(AND(AB44&gt;=19,AB44&lt;=22),$E$69,0)+IF(AND(AB44&gt;=23,AB44&lt;=24),$E$70,0)+IF(AB44=$B$47,$B$48,0)</f>
        <v>0</v>
      </c>
      <c r="AG44" s="36">
        <f>IF(AND(AC44&gt;=4,AC44&lt;=6),$E$74,0)+IF(AND(AC44&gt;=7,AC44&lt;=12),$E$75,0)+IF(AND(AC44&gt;=13,AC44&lt;=15),$E$76,0)+IF(AND(AC44&gt;=16,AC44&lt;=18),$E$77,0)+IF(AND(AC44&gt;=19,AC44&lt;=22),$E$78,0)+IF(AND(AC44&gt;=23,AC44&lt;=24),$E$79,0)+IF(AC44=$B$47,$B$48,0)</f>
        <v>0</v>
      </c>
      <c r="AH44" s="36">
        <f>IF(AND(AD44&gt;=4,AD44&lt;=6),$E$83,0)+IF(AND(AD44&gt;=7,AD44&lt;=12),$E$84,0)+IF(AND(AD44&gt;=13,AD44&lt;=15),$E$85,0)+IF(AND(AD44&gt;=16,AD44&lt;=18),$E$86,0)+IF(AND(AD44&gt;=19,AD44&lt;=22),$E$87,0)+IF(AND(AD44&gt;=23,AD44&lt;=24),$E$88,0)+IF(AD44=$B$47,$B$48,0)</f>
        <v>0</v>
      </c>
      <c r="AI44" s="4"/>
    </row>
    <row r="45" spans="1:39" ht="16" customHeight="1">
      <c r="A45" s="61" t="s">
        <v>88</v>
      </c>
      <c r="B45" s="28"/>
      <c r="C45" s="21" t="s">
        <v>59</v>
      </c>
      <c r="H45" s="4">
        <v>40</v>
      </c>
      <c r="I45" s="4">
        <f t="shared" si="24"/>
        <v>72</v>
      </c>
      <c r="J45" s="8">
        <f t="shared" ca="1" si="25"/>
        <v>48725303.679968998</v>
      </c>
      <c r="K45" s="9">
        <f t="shared" ca="1" si="26"/>
        <v>48.725303679968995</v>
      </c>
      <c r="N45" s="4">
        <f t="shared" si="7"/>
        <v>42</v>
      </c>
      <c r="O45" s="8">
        <f t="shared" si="18"/>
        <v>74</v>
      </c>
      <c r="P45" s="8">
        <f t="shared" ca="1" si="8"/>
        <v>2716506.72</v>
      </c>
      <c r="Q45" s="8">
        <f t="shared" si="19"/>
        <v>-1800840</v>
      </c>
      <c r="R45" s="8">
        <f t="shared" si="9"/>
        <v>0</v>
      </c>
      <c r="S45" s="8">
        <f t="shared" ca="1" si="20"/>
        <v>915666.7200000002</v>
      </c>
      <c r="T45" s="38">
        <f t="shared" ca="1" si="14"/>
        <v>1689507.1999999983</v>
      </c>
      <c r="U45" s="8">
        <f t="shared" ca="1" si="21"/>
        <v>53532645.332095109</v>
      </c>
      <c r="V45" s="8">
        <f t="shared" si="27"/>
        <v>50333143.817568071</v>
      </c>
      <c r="W45" s="8">
        <f t="shared" si="17"/>
        <v>51843138.132095113</v>
      </c>
      <c r="X45" s="8">
        <f t="shared" si="22"/>
        <v>0</v>
      </c>
      <c r="Y45" s="8">
        <f t="shared" si="23"/>
        <v>1509994.314527042</v>
      </c>
      <c r="Z45" s="8">
        <f t="shared" si="28"/>
        <v>17820000</v>
      </c>
      <c r="AA45" s="7">
        <f t="shared" si="12"/>
        <v>44</v>
      </c>
      <c r="AB45" s="7">
        <f t="shared" si="13"/>
        <v>40</v>
      </c>
      <c r="AC45" s="4" t="str">
        <f t="shared" si="15"/>
        <v>-</v>
      </c>
      <c r="AD45" s="4" t="str">
        <f t="shared" si="16"/>
        <v>-</v>
      </c>
      <c r="AE45" s="36">
        <f>IF(AND(AA45&gt;=4,AA45&lt;=6),$E$56,0)+IF(AND(AA45&gt;=7,AA45&lt;=12),$E$57,0)+IF(AND(AA45&gt;=13,AA45&lt;=15),$E$58,0)+IF(AND(AA45&gt;=16,AA45&lt;=18),$E$59,0)+IF(AND(AA45&gt;=19,AA45&lt;=22),$E$60,0)+IF(AND(AA45&gt;=23,AA45&lt;=24),$E$61,0)+IF(AA45=$B$47,$B$48,0)</f>
        <v>0</v>
      </c>
      <c r="AF45" s="36">
        <f>IF(AND(AB45&gt;=4,AB45&lt;=6),$E$65,0)+IF(AND(AB45&gt;=7,AB45&lt;=12),$E$66,0)+IF(AND(AB45&gt;=13,AB45&lt;=15),$E$67,0)+IF(AND(AB45&gt;=16,AB45&lt;=18),$E$68,0)+IF(AND(AB45&gt;=19,AB45&lt;=22),$E$69,0)+IF(AND(AB45&gt;=23,AB45&lt;=24),$E$70,0)+IF(AB45=$B$47,$B$48,0)</f>
        <v>0</v>
      </c>
      <c r="AG45" s="36">
        <f>IF(AND(AC45&gt;=4,AC45&lt;=6),$E$74,0)+IF(AND(AC45&gt;=7,AC45&lt;=12),$E$75,0)+IF(AND(AC45&gt;=13,AC45&lt;=15),$E$76,0)+IF(AND(AC45&gt;=16,AC45&lt;=18),$E$77,0)+IF(AND(AC45&gt;=19,AC45&lt;=22),$E$78,0)+IF(AND(AC45&gt;=23,AC45&lt;=24),$E$79,0)+IF(AC45=$B$47,$B$48,0)</f>
        <v>0</v>
      </c>
      <c r="AH45" s="36">
        <f>IF(AND(AD45&gt;=4,AD45&lt;=6),$E$83,0)+IF(AND(AD45&gt;=7,AD45&lt;=12),$E$84,0)+IF(AND(AD45&gt;=13,AD45&lt;=15),$E$85,0)+IF(AND(AD45&gt;=16,AD45&lt;=18),$E$86,0)+IF(AND(AD45&gt;=19,AD45&lt;=22),$E$87,0)+IF(AND(AD45&gt;=23,AD45&lt;=24),$E$88,0)+IF(AD45=$B$47,$B$48,0)</f>
        <v>0</v>
      </c>
      <c r="AI45" s="4"/>
    </row>
    <row r="46" spans="1:39" ht="16" customHeight="1">
      <c r="A46" s="61" t="s">
        <v>89</v>
      </c>
      <c r="B46" s="28"/>
      <c r="C46" s="21" t="s">
        <v>59</v>
      </c>
      <c r="H46" s="4">
        <v>45</v>
      </c>
      <c r="I46" s="4">
        <f t="shared" si="24"/>
        <v>77</v>
      </c>
      <c r="J46" s="8">
        <f t="shared" ca="1" si="25"/>
        <v>61086904.161669895</v>
      </c>
      <c r="K46" s="9">
        <f t="shared" ca="1" si="26"/>
        <v>61.086904161669892</v>
      </c>
      <c r="N46" s="4">
        <f t="shared" si="7"/>
        <v>43</v>
      </c>
      <c r="O46" s="8">
        <f t="shared" si="18"/>
        <v>75</v>
      </c>
      <c r="P46" s="8">
        <f t="shared" ca="1" si="8"/>
        <v>2716506.72</v>
      </c>
      <c r="Q46" s="8">
        <f t="shared" si="19"/>
        <v>-1800840</v>
      </c>
      <c r="R46" s="8">
        <f t="shared" si="9"/>
        <v>0</v>
      </c>
      <c r="S46" s="8">
        <f t="shared" ca="1" si="20"/>
        <v>915666.7200000002</v>
      </c>
      <c r="T46" s="38">
        <f t="shared" ca="1" si="14"/>
        <v>2605173.9199999985</v>
      </c>
      <c r="U46" s="8">
        <f t="shared" ca="1" si="21"/>
        <v>56003606.196057968</v>
      </c>
      <c r="V46" s="8">
        <f t="shared" si="27"/>
        <v>51843138.132095113</v>
      </c>
      <c r="W46" s="8">
        <f t="shared" si="17"/>
        <v>53398432.276057966</v>
      </c>
      <c r="X46" s="8">
        <f t="shared" si="22"/>
        <v>0</v>
      </c>
      <c r="Y46" s="8">
        <f t="shared" si="23"/>
        <v>1555294.1439628534</v>
      </c>
      <c r="Z46" s="8">
        <f t="shared" si="28"/>
        <v>17820000</v>
      </c>
      <c r="AA46" s="7">
        <f t="shared" si="12"/>
        <v>45</v>
      </c>
      <c r="AB46" s="7">
        <f t="shared" si="13"/>
        <v>41</v>
      </c>
      <c r="AC46" s="4" t="str">
        <f t="shared" si="15"/>
        <v>-</v>
      </c>
      <c r="AD46" s="4" t="str">
        <f t="shared" si="16"/>
        <v>-</v>
      </c>
      <c r="AE46" s="36">
        <f>IF(AND(AA46&gt;=4,AA46&lt;=6),$E$56,0)+IF(AND(AA46&gt;=7,AA46&lt;=12),$E$57,0)+IF(AND(AA46&gt;=13,AA46&lt;=15),$E$58,0)+IF(AND(AA46&gt;=16,AA46&lt;=18),$E$59,0)+IF(AND(AA46&gt;=19,AA46&lt;=22),$E$60,0)+IF(AND(AA46&gt;=23,AA46&lt;=24),$E$61,0)+IF(AA46=$B$47,$B$48,0)</f>
        <v>0</v>
      </c>
      <c r="AF46" s="36">
        <f>IF(AND(AB46&gt;=4,AB46&lt;=6),$E$65,0)+IF(AND(AB46&gt;=7,AB46&lt;=12),$E$66,0)+IF(AND(AB46&gt;=13,AB46&lt;=15),$E$67,0)+IF(AND(AB46&gt;=16,AB46&lt;=18),$E$68,0)+IF(AND(AB46&gt;=19,AB46&lt;=22),$E$69,0)+IF(AND(AB46&gt;=23,AB46&lt;=24),$E$70,0)+IF(AB46=$B$47,$B$48,0)</f>
        <v>0</v>
      </c>
      <c r="AG46" s="36">
        <f>IF(AND(AC46&gt;=4,AC46&lt;=6),$E$74,0)+IF(AND(AC46&gt;=7,AC46&lt;=12),$E$75,0)+IF(AND(AC46&gt;=13,AC46&lt;=15),$E$76,0)+IF(AND(AC46&gt;=16,AC46&lt;=18),$E$77,0)+IF(AND(AC46&gt;=19,AC46&lt;=22),$E$78,0)+IF(AND(AC46&gt;=23,AC46&lt;=24),$E$79,0)+IF(AC46=$B$47,$B$48,0)</f>
        <v>0</v>
      </c>
      <c r="AH46" s="36">
        <f>IF(AND(AD46&gt;=4,AD46&lt;=6),$E$83,0)+IF(AND(AD46&gt;=7,AD46&lt;=12),$E$84,0)+IF(AND(AD46&gt;=13,AD46&lt;=15),$E$85,0)+IF(AND(AD46&gt;=16,AD46&lt;=18),$E$86,0)+IF(AND(AD46&gt;=19,AD46&lt;=22),$E$87,0)+IF(AND(AD46&gt;=23,AD46&lt;=24),$E$88,0)+IF(AD46=$B$47,$B$48,0)</f>
        <v>0</v>
      </c>
      <c r="AI46" s="4"/>
    </row>
    <row r="47" spans="1:39" ht="16" customHeight="1">
      <c r="A47" s="61" t="s">
        <v>62</v>
      </c>
      <c r="B47" s="28">
        <v>28</v>
      </c>
      <c r="C47" s="21" t="s">
        <v>59</v>
      </c>
      <c r="H47" s="2">
        <v>50</v>
      </c>
      <c r="I47" s="2">
        <f t="shared" si="24"/>
        <v>82</v>
      </c>
      <c r="J47" s="8">
        <f t="shared" ca="1" si="25"/>
        <v>74688177.270983547</v>
      </c>
      <c r="K47" s="9">
        <f t="shared" ca="1" si="26"/>
        <v>74.688177270983545</v>
      </c>
      <c r="N47" s="4">
        <f t="shared" si="7"/>
        <v>44</v>
      </c>
      <c r="O47" s="8">
        <f t="shared" si="18"/>
        <v>76</v>
      </c>
      <c r="P47" s="8">
        <f t="shared" ca="1" si="8"/>
        <v>2716506.72</v>
      </c>
      <c r="Q47" s="8">
        <f t="shared" si="19"/>
        <v>-1800840</v>
      </c>
      <c r="R47" s="8">
        <f t="shared" si="9"/>
        <v>0</v>
      </c>
      <c r="S47" s="8">
        <f t="shared" ca="1" si="20"/>
        <v>915666.7200000002</v>
      </c>
      <c r="T47" s="38">
        <f t="shared" ca="1" si="14"/>
        <v>3520840.6399999987</v>
      </c>
      <c r="U47" s="8">
        <f t="shared" ca="1" si="21"/>
        <v>58521225.884339705</v>
      </c>
      <c r="V47" s="8">
        <f t="shared" si="27"/>
        <v>53398432.276057966</v>
      </c>
      <c r="W47" s="8">
        <f t="shared" si="17"/>
        <v>55000385.244339705</v>
      </c>
      <c r="X47" s="8">
        <f t="shared" si="22"/>
        <v>0</v>
      </c>
      <c r="Y47" s="8">
        <f t="shared" si="23"/>
        <v>1601952.9682817389</v>
      </c>
      <c r="Z47" s="8">
        <f t="shared" si="28"/>
        <v>17820000</v>
      </c>
      <c r="AA47" s="7">
        <f t="shared" si="12"/>
        <v>46</v>
      </c>
      <c r="AB47" s="7">
        <f t="shared" si="13"/>
        <v>42</v>
      </c>
      <c r="AC47" s="4" t="str">
        <f t="shared" si="15"/>
        <v>-</v>
      </c>
      <c r="AD47" s="4" t="str">
        <f t="shared" si="16"/>
        <v>-</v>
      </c>
      <c r="AE47" s="36">
        <f>IF(AND(AA47&gt;=4,AA47&lt;=6),$E$56,0)+IF(AND(AA47&gt;=7,AA47&lt;=12),$E$57,0)+IF(AND(AA47&gt;=13,AA47&lt;=15),$E$58,0)+IF(AND(AA47&gt;=16,AA47&lt;=18),$E$59,0)+IF(AND(AA47&gt;=19,AA47&lt;=22),$E$60,0)+IF(AND(AA47&gt;=23,AA47&lt;=24),$E$61,0)+IF(AA47=$B$47,$B$48,0)</f>
        <v>0</v>
      </c>
      <c r="AF47" s="36">
        <f>IF(AND(AB47&gt;=4,AB47&lt;=6),$E$65,0)+IF(AND(AB47&gt;=7,AB47&lt;=12),$E$66,0)+IF(AND(AB47&gt;=13,AB47&lt;=15),$E$67,0)+IF(AND(AB47&gt;=16,AB47&lt;=18),$E$68,0)+IF(AND(AB47&gt;=19,AB47&lt;=22),$E$69,0)+IF(AND(AB47&gt;=23,AB47&lt;=24),$E$70,0)+IF(AB47=$B$47,$B$48,0)</f>
        <v>0</v>
      </c>
      <c r="AG47" s="36">
        <f>IF(AND(AC47&gt;=4,AC47&lt;=6),$E$74,0)+IF(AND(AC47&gt;=7,AC47&lt;=12),$E$75,0)+IF(AND(AC47&gt;=13,AC47&lt;=15),$E$76,0)+IF(AND(AC47&gt;=16,AC47&lt;=18),$E$77,0)+IF(AND(AC47&gt;=19,AC47&lt;=22),$E$78,0)+IF(AND(AC47&gt;=23,AC47&lt;=24),$E$79,0)+IF(AC47=$B$47,$B$48,0)</f>
        <v>0</v>
      </c>
      <c r="AH47" s="36">
        <f>IF(AND(AD47&gt;=4,AD47&lt;=6),$E$83,0)+IF(AND(AD47&gt;=7,AD47&lt;=12),$E$84,0)+IF(AND(AD47&gt;=13,AD47&lt;=15),$E$85,0)+IF(AND(AD47&gt;=16,AD47&lt;=18),$E$86,0)+IF(AND(AD47&gt;=19,AD47&lt;=22),$E$87,0)+IF(AND(AD47&gt;=23,AD47&lt;=24),$E$88,0)+IF(AD47=$B$47,$B$48,0)</f>
        <v>0</v>
      </c>
      <c r="AI47" s="4"/>
    </row>
    <row r="48" spans="1:39" ht="16" customHeight="1">
      <c r="A48" s="61" t="s">
        <v>64</v>
      </c>
      <c r="B48" s="34">
        <v>500000</v>
      </c>
      <c r="C48" s="21" t="s">
        <v>63</v>
      </c>
      <c r="H48" s="4">
        <v>55</v>
      </c>
      <c r="I48" s="4">
        <f t="shared" si="24"/>
        <v>87</v>
      </c>
      <c r="J48" s="8">
        <f t="shared" ca="1" si="25"/>
        <v>89726570.718108028</v>
      </c>
      <c r="K48" s="9">
        <f t="shared" ca="1" si="26"/>
        <v>89.726570718108022</v>
      </c>
      <c r="N48" s="4">
        <f t="shared" si="7"/>
        <v>45</v>
      </c>
      <c r="O48" s="8">
        <f t="shared" si="18"/>
        <v>77</v>
      </c>
      <c r="P48" s="8">
        <f t="shared" ca="1" si="8"/>
        <v>2716506.72</v>
      </c>
      <c r="Q48" s="8">
        <f t="shared" si="19"/>
        <v>-1800840</v>
      </c>
      <c r="R48" s="8">
        <f t="shared" si="9"/>
        <v>0</v>
      </c>
      <c r="S48" s="8">
        <f t="shared" ca="1" si="20"/>
        <v>915666.7200000002</v>
      </c>
      <c r="T48" s="38">
        <f t="shared" ca="1" si="14"/>
        <v>4436507.3599999994</v>
      </c>
      <c r="U48" s="8">
        <f t="shared" ca="1" si="21"/>
        <v>61086904.161669895</v>
      </c>
      <c r="V48" s="8">
        <f t="shared" si="27"/>
        <v>55000385.244339705</v>
      </c>
      <c r="W48" s="8">
        <f t="shared" si="17"/>
        <v>56650396.801669896</v>
      </c>
      <c r="X48" s="8">
        <f t="shared" si="22"/>
        <v>0</v>
      </c>
      <c r="Y48" s="8">
        <f t="shared" si="23"/>
        <v>1650011.5573301911</v>
      </c>
      <c r="Z48" s="8">
        <f t="shared" si="28"/>
        <v>17820000</v>
      </c>
      <c r="AA48" s="7">
        <f t="shared" si="12"/>
        <v>47</v>
      </c>
      <c r="AB48" s="7">
        <f t="shared" si="13"/>
        <v>43</v>
      </c>
      <c r="AC48" s="4" t="str">
        <f t="shared" si="15"/>
        <v>-</v>
      </c>
      <c r="AD48" s="4" t="str">
        <f t="shared" si="16"/>
        <v>-</v>
      </c>
      <c r="AE48" s="36">
        <f>IF(AND(AA48&gt;=4,AA48&lt;=6),$E$56,0)+IF(AND(AA48&gt;=7,AA48&lt;=12),$E$57,0)+IF(AND(AA48&gt;=13,AA48&lt;=15),$E$58,0)+IF(AND(AA48&gt;=16,AA48&lt;=18),$E$59,0)+IF(AND(AA48&gt;=19,AA48&lt;=22),$E$60,0)+IF(AND(AA48&gt;=23,AA48&lt;=24),$E$61,0)+IF(AA48=$B$47,$B$48,0)</f>
        <v>0</v>
      </c>
      <c r="AF48" s="36">
        <f>IF(AND(AB48&gt;=4,AB48&lt;=6),$E$65,0)+IF(AND(AB48&gt;=7,AB48&lt;=12),$E$66,0)+IF(AND(AB48&gt;=13,AB48&lt;=15),$E$67,0)+IF(AND(AB48&gt;=16,AB48&lt;=18),$E$68,0)+IF(AND(AB48&gt;=19,AB48&lt;=22),$E$69,0)+IF(AND(AB48&gt;=23,AB48&lt;=24),$E$70,0)+IF(AB48=$B$47,$B$48,0)</f>
        <v>0</v>
      </c>
      <c r="AG48" s="36">
        <f>IF(AND(AC48&gt;=4,AC48&lt;=6),$E$74,0)+IF(AND(AC48&gt;=7,AC48&lt;=12),$E$75,0)+IF(AND(AC48&gt;=13,AC48&lt;=15),$E$76,0)+IF(AND(AC48&gt;=16,AC48&lt;=18),$E$77,0)+IF(AND(AC48&gt;=19,AC48&lt;=22),$E$78,0)+IF(AND(AC48&gt;=23,AC48&lt;=24),$E$79,0)+IF(AC48=$B$47,$B$48,0)</f>
        <v>0</v>
      </c>
      <c r="AH48" s="36">
        <f>IF(AND(AD48&gt;=4,AD48&lt;=6),$E$83,0)+IF(AND(AD48&gt;=7,AD48&lt;=12),$E$84,0)+IF(AND(AD48&gt;=13,AD48&lt;=15),$E$85,0)+IF(AND(AD48&gt;=16,AD48&lt;=18),$E$86,0)+IF(AND(AD48&gt;=19,AD48&lt;=22),$E$87,0)+IF(AND(AD48&gt;=23,AD48&lt;=24),$E$88,0)+IF(AD48=$B$47,$B$48,0)</f>
        <v>0</v>
      </c>
      <c r="AI48" s="4"/>
    </row>
    <row r="49" spans="1:35" ht="16" customHeight="1">
      <c r="A49" s="61" t="s">
        <v>133</v>
      </c>
      <c r="B49" s="34">
        <v>3500000</v>
      </c>
      <c r="C49" s="21" t="s">
        <v>63</v>
      </c>
      <c r="H49" s="7">
        <v>60</v>
      </c>
      <c r="I49" s="7">
        <f t="shared" si="24"/>
        <v>92</v>
      </c>
      <c r="J49" s="8">
        <f t="shared" ca="1" si="25"/>
        <v>106430980.51450588</v>
      </c>
      <c r="K49" s="9">
        <f t="shared" ca="1" si="26"/>
        <v>106.43098051450588</v>
      </c>
      <c r="N49" s="4">
        <f t="shared" si="7"/>
        <v>46</v>
      </c>
      <c r="O49" s="8">
        <f t="shared" si="18"/>
        <v>78</v>
      </c>
      <c r="P49" s="8">
        <f t="shared" ca="1" si="8"/>
        <v>2716506.72</v>
      </c>
      <c r="Q49" s="8">
        <f t="shared" si="19"/>
        <v>-1800840</v>
      </c>
      <c r="R49" s="8">
        <f t="shared" si="9"/>
        <v>0</v>
      </c>
      <c r="S49" s="8">
        <f t="shared" ca="1" si="20"/>
        <v>915666.7200000002</v>
      </c>
      <c r="T49" s="38">
        <f t="shared" ca="1" si="14"/>
        <v>5352174.08</v>
      </c>
      <c r="U49" s="8">
        <f t="shared" ca="1" si="21"/>
        <v>63702082.785719991</v>
      </c>
      <c r="V49" s="8">
        <f t="shared" si="27"/>
        <v>56650396.801669896</v>
      </c>
      <c r="W49" s="8">
        <f t="shared" si="17"/>
        <v>58349908.705719993</v>
      </c>
      <c r="X49" s="8">
        <f t="shared" si="22"/>
        <v>0</v>
      </c>
      <c r="Y49" s="8">
        <f t="shared" si="23"/>
        <v>1699511.9040500969</v>
      </c>
      <c r="Z49" s="8">
        <f t="shared" si="28"/>
        <v>17820000</v>
      </c>
      <c r="AA49" s="7">
        <f t="shared" si="12"/>
        <v>48</v>
      </c>
      <c r="AB49" s="7">
        <f t="shared" si="13"/>
        <v>44</v>
      </c>
      <c r="AC49" s="4" t="str">
        <f t="shared" si="15"/>
        <v>-</v>
      </c>
      <c r="AD49" s="4" t="str">
        <f t="shared" si="16"/>
        <v>-</v>
      </c>
      <c r="AE49" s="36">
        <f>IF(AND(AA49&gt;=4,AA49&lt;=6),$E$56,0)+IF(AND(AA49&gt;=7,AA49&lt;=12),$E$57,0)+IF(AND(AA49&gt;=13,AA49&lt;=15),$E$58,0)+IF(AND(AA49&gt;=16,AA49&lt;=18),$E$59,0)+IF(AND(AA49&gt;=19,AA49&lt;=22),$E$60,0)+IF(AND(AA49&gt;=23,AA49&lt;=24),$E$61,0)+IF(AA49=$B$47,$B$48,0)</f>
        <v>0</v>
      </c>
      <c r="AF49" s="36">
        <f>IF(AND(AB49&gt;=4,AB49&lt;=6),$E$65,0)+IF(AND(AB49&gt;=7,AB49&lt;=12),$E$66,0)+IF(AND(AB49&gt;=13,AB49&lt;=15),$E$67,0)+IF(AND(AB49&gt;=16,AB49&lt;=18),$E$68,0)+IF(AND(AB49&gt;=19,AB49&lt;=22),$E$69,0)+IF(AND(AB49&gt;=23,AB49&lt;=24),$E$70,0)+IF(AB49=$B$47,$B$48,0)</f>
        <v>0</v>
      </c>
      <c r="AG49" s="36">
        <f>IF(AND(AC49&gt;=4,AC49&lt;=6),$E$74,0)+IF(AND(AC49&gt;=7,AC49&lt;=12),$E$75,0)+IF(AND(AC49&gt;=13,AC49&lt;=15),$E$76,0)+IF(AND(AC49&gt;=16,AC49&lt;=18),$E$77,0)+IF(AND(AC49&gt;=19,AC49&lt;=22),$E$78,0)+IF(AND(AC49&gt;=23,AC49&lt;=24),$E$79,0)+IF(AC49=$B$47,$B$48,0)</f>
        <v>0</v>
      </c>
      <c r="AH49" s="36">
        <f>IF(AND(AD49&gt;=4,AD49&lt;=6),$E$83,0)+IF(AND(AD49&gt;=7,AD49&lt;=12),$E$84,0)+IF(AND(AD49&gt;=13,AD49&lt;=15),$E$85,0)+IF(AND(AD49&gt;=16,AD49&lt;=18),$E$86,0)+IF(AND(AD49&gt;=19,AD49&lt;=22),$E$87,0)+IF(AND(AD49&gt;=23,AD49&lt;=24),$E$88,0)+IF(AD49=$B$47,$B$48,0)</f>
        <v>0</v>
      </c>
      <c r="AI49" s="4"/>
    </row>
    <row r="50" spans="1:35" ht="16" customHeight="1">
      <c r="A50" s="61" t="s">
        <v>134</v>
      </c>
      <c r="B50" s="34">
        <v>35</v>
      </c>
      <c r="C50" s="21" t="s">
        <v>59</v>
      </c>
      <c r="H50" s="4">
        <v>65</v>
      </c>
      <c r="I50" s="4">
        <f t="shared" si="24"/>
        <v>97</v>
      </c>
      <c r="J50" s="8">
        <f t="shared" ca="1" si="25"/>
        <v>125066759.87197623</v>
      </c>
      <c r="K50" s="9">
        <f t="shared" ca="1" si="26"/>
        <v>125.06675987197623</v>
      </c>
      <c r="N50" s="4">
        <f t="shared" si="7"/>
        <v>47</v>
      </c>
      <c r="O50" s="8">
        <f t="shared" si="18"/>
        <v>79</v>
      </c>
      <c r="P50" s="8">
        <f t="shared" ca="1" si="8"/>
        <v>2716506.72</v>
      </c>
      <c r="Q50" s="8">
        <f t="shared" si="19"/>
        <v>-1800840</v>
      </c>
      <c r="R50" s="8">
        <f t="shared" si="9"/>
        <v>0</v>
      </c>
      <c r="S50" s="8">
        <f t="shared" ca="1" si="20"/>
        <v>915666.7200000002</v>
      </c>
      <c r="T50" s="38">
        <f t="shared" ca="1" si="14"/>
        <v>6267840.8000000007</v>
      </c>
      <c r="U50" s="8">
        <f t="shared" ca="1" si="21"/>
        <v>66368246.766891599</v>
      </c>
      <c r="V50" s="8">
        <f t="shared" si="27"/>
        <v>58349908.705719993</v>
      </c>
      <c r="W50" s="8">
        <f t="shared" si="17"/>
        <v>60100405.966891594</v>
      </c>
      <c r="X50" s="8">
        <f t="shared" si="22"/>
        <v>0</v>
      </c>
      <c r="Y50" s="8">
        <f t="shared" si="23"/>
        <v>1750497.2611715996</v>
      </c>
      <c r="Z50" s="8">
        <f t="shared" si="28"/>
        <v>17820000</v>
      </c>
      <c r="AA50" s="7">
        <f t="shared" si="12"/>
        <v>49</v>
      </c>
      <c r="AB50" s="7">
        <f t="shared" si="13"/>
        <v>45</v>
      </c>
      <c r="AC50" s="4" t="str">
        <f t="shared" si="15"/>
        <v>-</v>
      </c>
      <c r="AD50" s="4" t="str">
        <f t="shared" si="16"/>
        <v>-</v>
      </c>
      <c r="AE50" s="36">
        <f>IF(AND(AA50&gt;=4,AA50&lt;=6),$E$56,0)+IF(AND(AA50&gt;=7,AA50&lt;=12),$E$57,0)+IF(AND(AA50&gt;=13,AA50&lt;=15),$E$58,0)+IF(AND(AA50&gt;=16,AA50&lt;=18),$E$59,0)+IF(AND(AA50&gt;=19,AA50&lt;=22),$E$60,0)+IF(AND(AA50&gt;=23,AA50&lt;=24),$E$61,0)+IF(AA50=$B$47,$B$48,0)</f>
        <v>0</v>
      </c>
      <c r="AF50" s="36">
        <f>IF(AND(AB50&gt;=4,AB50&lt;=6),$E$65,0)+IF(AND(AB50&gt;=7,AB50&lt;=12),$E$66,0)+IF(AND(AB50&gt;=13,AB50&lt;=15),$E$67,0)+IF(AND(AB50&gt;=16,AB50&lt;=18),$E$68,0)+IF(AND(AB50&gt;=19,AB50&lt;=22),$E$69,0)+IF(AND(AB50&gt;=23,AB50&lt;=24),$E$70,0)+IF(AB50=$B$47,$B$48,0)</f>
        <v>0</v>
      </c>
      <c r="AG50" s="36">
        <f>IF(AND(AC50&gt;=4,AC50&lt;=6),$E$74,0)+IF(AND(AC50&gt;=7,AC50&lt;=12),$E$75,0)+IF(AND(AC50&gt;=13,AC50&lt;=15),$E$76,0)+IF(AND(AC50&gt;=16,AC50&lt;=18),$E$77,0)+IF(AND(AC50&gt;=19,AC50&lt;=22),$E$78,0)+IF(AND(AC50&gt;=23,AC50&lt;=24),$E$79,0)+IF(AC50=$B$47,$B$48,0)</f>
        <v>0</v>
      </c>
      <c r="AH50" s="36">
        <f>IF(AND(AD50&gt;=4,AD50&lt;=6),$E$83,0)+IF(AND(AD50&gt;=7,AD50&lt;=12),$E$84,0)+IF(AND(AD50&gt;=13,AD50&lt;=15),$E$85,0)+IF(AND(AD50&gt;=16,AD50&lt;=18),$E$86,0)+IF(AND(AD50&gt;=19,AD50&lt;=22),$E$87,0)+IF(AND(AD50&gt;=23,AD50&lt;=24),$E$88,0)+IF(AD50=$B$47,$B$48,0)</f>
        <v>0</v>
      </c>
      <c r="AI50" s="4"/>
    </row>
    <row r="51" spans="1:35" ht="16" customHeight="1">
      <c r="A51" s="61" t="s">
        <v>135</v>
      </c>
      <c r="B51" s="34">
        <v>1500000</v>
      </c>
      <c r="C51" s="21"/>
      <c r="H51" s="7">
        <v>70</v>
      </c>
      <c r="I51" s="7">
        <f t="shared" si="24"/>
        <v>102</v>
      </c>
      <c r="J51" s="8">
        <f t="shared" ca="1" si="25"/>
        <v>145941525.88949013</v>
      </c>
      <c r="K51" s="9">
        <f t="shared" ca="1" si="26"/>
        <v>145.94152588949012</v>
      </c>
      <c r="N51" s="4">
        <f t="shared" si="7"/>
        <v>48</v>
      </c>
      <c r="O51" s="8">
        <f t="shared" si="18"/>
        <v>80</v>
      </c>
      <c r="P51" s="8">
        <f t="shared" ca="1" si="8"/>
        <v>2716506.72</v>
      </c>
      <c r="Q51" s="8">
        <f t="shared" si="19"/>
        <v>-1800840</v>
      </c>
      <c r="R51" s="8">
        <f t="shared" si="9"/>
        <v>0</v>
      </c>
      <c r="S51" s="8">
        <f t="shared" ca="1" si="20"/>
        <v>915666.7200000002</v>
      </c>
      <c r="T51" s="38">
        <f t="shared" ca="1" si="14"/>
        <v>7183507.5200000014</v>
      </c>
      <c r="U51" s="8">
        <f t="shared" ca="1" si="21"/>
        <v>69086925.665898338</v>
      </c>
      <c r="V51" s="8">
        <f t="shared" si="27"/>
        <v>60100405.966891594</v>
      </c>
      <c r="W51" s="8">
        <f t="shared" si="17"/>
        <v>61903418.145898342</v>
      </c>
      <c r="X51" s="8">
        <f t="shared" si="22"/>
        <v>0</v>
      </c>
      <c r="Y51" s="8">
        <f t="shared" si="23"/>
        <v>1803012.1790067477</v>
      </c>
      <c r="Z51" s="8">
        <f t="shared" si="28"/>
        <v>17820000</v>
      </c>
      <c r="AA51" s="7">
        <f t="shared" si="12"/>
        <v>50</v>
      </c>
      <c r="AB51" s="7">
        <f t="shared" si="13"/>
        <v>46</v>
      </c>
      <c r="AC51" s="4" t="str">
        <f t="shared" si="15"/>
        <v>-</v>
      </c>
      <c r="AD51" s="4" t="str">
        <f t="shared" si="16"/>
        <v>-</v>
      </c>
      <c r="AE51" s="36">
        <f>IF(AND(AA51&gt;=4,AA51&lt;=6),$E$56,0)+IF(AND(AA51&gt;=7,AA51&lt;=12),$E$57,0)+IF(AND(AA51&gt;=13,AA51&lt;=15),$E$58,0)+IF(AND(AA51&gt;=16,AA51&lt;=18),$E$59,0)+IF(AND(AA51&gt;=19,AA51&lt;=22),$E$60,0)+IF(AND(AA51&gt;=23,AA51&lt;=24),$E$61,0)+IF(AA51=$B$47,$B$48,0)</f>
        <v>0</v>
      </c>
      <c r="AF51" s="36">
        <f>IF(AND(AB51&gt;=4,AB51&lt;=6),$E$65,0)+IF(AND(AB51&gt;=7,AB51&lt;=12),$E$66,0)+IF(AND(AB51&gt;=13,AB51&lt;=15),$E$67,0)+IF(AND(AB51&gt;=16,AB51&lt;=18),$E$68,0)+IF(AND(AB51&gt;=19,AB51&lt;=22),$E$69,0)+IF(AND(AB51&gt;=23,AB51&lt;=24),$E$70,0)+IF(AB51=$B$47,$B$48,0)</f>
        <v>0</v>
      </c>
      <c r="AG51" s="36">
        <f>IF(AND(AC51&gt;=4,AC51&lt;=6),$E$74,0)+IF(AND(AC51&gt;=7,AC51&lt;=12),$E$75,0)+IF(AND(AC51&gt;=13,AC51&lt;=15),$E$76,0)+IF(AND(AC51&gt;=16,AC51&lt;=18),$E$77,0)+IF(AND(AC51&gt;=19,AC51&lt;=22),$E$78,0)+IF(AND(AC51&gt;=23,AC51&lt;=24),$E$79,0)+IF(AC51=$B$47,$B$48,0)</f>
        <v>0</v>
      </c>
      <c r="AH51" s="36">
        <f>IF(AND(AD51&gt;=4,AD51&lt;=6),$E$83,0)+IF(AND(AD51&gt;=7,AD51&lt;=12),$E$84,0)+IF(AND(AD51&gt;=13,AD51&lt;=15),$E$85,0)+IF(AND(AD51&gt;=16,AD51&lt;=18),$E$86,0)+IF(AND(AD51&gt;=19,AD51&lt;=22),$E$87,0)+IF(AND(AD51&gt;=23,AD51&lt;=24),$E$88,0)+IF(AD51=$B$47,$B$48,0)</f>
        <v>0</v>
      </c>
      <c r="AI51" s="4"/>
    </row>
    <row r="52" spans="1:35" ht="16" customHeight="1">
      <c r="A52" s="61" t="s">
        <v>136</v>
      </c>
      <c r="B52" s="37">
        <v>60</v>
      </c>
      <c r="C52" s="21" t="s">
        <v>59</v>
      </c>
      <c r="N52" s="4">
        <f t="shared" si="7"/>
        <v>49</v>
      </c>
      <c r="O52" s="8">
        <f t="shared" si="18"/>
        <v>81</v>
      </c>
      <c r="P52" s="8">
        <f t="shared" ca="1" si="8"/>
        <v>2716506.72</v>
      </c>
      <c r="Q52" s="8">
        <f t="shared" si="19"/>
        <v>-1800840</v>
      </c>
      <c r="R52" s="8">
        <f t="shared" si="9"/>
        <v>0</v>
      </c>
      <c r="S52" s="8">
        <f t="shared" ca="1" si="20"/>
        <v>915666.7200000002</v>
      </c>
      <c r="T52" s="38">
        <f t="shared" ca="1" si="14"/>
        <v>8099174.2400000021</v>
      </c>
      <c r="U52" s="8">
        <f t="shared" ca="1" si="21"/>
        <v>71859694.930275291</v>
      </c>
      <c r="V52" s="8">
        <f t="shared" si="27"/>
        <v>61903418.145898342</v>
      </c>
      <c r="W52" s="8">
        <f t="shared" si="17"/>
        <v>63760520.690275289</v>
      </c>
      <c r="X52" s="8">
        <f t="shared" si="22"/>
        <v>0</v>
      </c>
      <c r="Y52" s="8">
        <f t="shared" si="23"/>
        <v>1857102.5443769502</v>
      </c>
      <c r="Z52" s="8">
        <f t="shared" si="28"/>
        <v>17820000</v>
      </c>
      <c r="AA52" s="7">
        <f t="shared" si="12"/>
        <v>51</v>
      </c>
      <c r="AB52" s="7">
        <f t="shared" si="13"/>
        <v>47</v>
      </c>
      <c r="AC52" s="4" t="str">
        <f t="shared" si="15"/>
        <v>-</v>
      </c>
      <c r="AD52" s="4" t="str">
        <f t="shared" si="16"/>
        <v>-</v>
      </c>
      <c r="AE52" s="36">
        <f>IF(AND(AA52&gt;=4,AA52&lt;=6),$E$56,0)+IF(AND(AA52&gt;=7,AA52&lt;=12),$E$57,0)+IF(AND(AA52&gt;=13,AA52&lt;=15),$E$58,0)+IF(AND(AA52&gt;=16,AA52&lt;=18),$E$59,0)+IF(AND(AA52&gt;=19,AA52&lt;=22),$E$60,0)+IF(AND(AA52&gt;=23,AA52&lt;=24),$E$61,0)+IF(AA52=$B$47,$B$48,0)</f>
        <v>0</v>
      </c>
      <c r="AF52" s="36">
        <f>IF(AND(AB52&gt;=4,AB52&lt;=6),$E$65,0)+IF(AND(AB52&gt;=7,AB52&lt;=12),$E$66,0)+IF(AND(AB52&gt;=13,AB52&lt;=15),$E$67,0)+IF(AND(AB52&gt;=16,AB52&lt;=18),$E$68,0)+IF(AND(AB52&gt;=19,AB52&lt;=22),$E$69,0)+IF(AND(AB52&gt;=23,AB52&lt;=24),$E$70,0)+IF(AB52=$B$47,$B$48,0)</f>
        <v>0</v>
      </c>
      <c r="AG52" s="36">
        <f>IF(AND(AC52&gt;=4,AC52&lt;=6),$E$74,0)+IF(AND(AC52&gt;=7,AC52&lt;=12),$E$75,0)+IF(AND(AC52&gt;=13,AC52&lt;=15),$E$76,0)+IF(AND(AC52&gt;=16,AC52&lt;=18),$E$77,0)+IF(AND(AC52&gt;=19,AC52&lt;=22),$E$78,0)+IF(AND(AC52&gt;=23,AC52&lt;=24),$E$79,0)+IF(AC52=$B$47,$B$48,0)</f>
        <v>0</v>
      </c>
      <c r="AH52" s="36">
        <f>IF(AND(AD52&gt;=4,AD52&lt;=6),$E$83,0)+IF(AND(AD52&gt;=7,AD52&lt;=12),$E$84,0)+IF(AND(AD52&gt;=13,AD52&lt;=15),$E$85,0)+IF(AND(AD52&gt;=16,AD52&lt;=18),$E$86,0)+IF(AND(AD52&gt;=19,AD52&lt;=22),$E$87,0)+IF(AND(AD52&gt;=23,AD52&lt;=24),$E$88,0)+IF(AD52=$B$47,$B$48,0)</f>
        <v>0</v>
      </c>
      <c r="AI52" s="4"/>
    </row>
    <row r="53" spans="1:35" ht="16" customHeight="1">
      <c r="N53" s="4">
        <f t="shared" si="7"/>
        <v>50</v>
      </c>
      <c r="O53" s="8">
        <f t="shared" si="18"/>
        <v>82</v>
      </c>
      <c r="P53" s="8">
        <f t="shared" ca="1" si="8"/>
        <v>2716506.72</v>
      </c>
      <c r="Q53" s="8">
        <f t="shared" si="19"/>
        <v>-1800840</v>
      </c>
      <c r="R53" s="8">
        <f t="shared" si="9"/>
        <v>0</v>
      </c>
      <c r="S53" s="8">
        <f t="shared" ca="1" si="20"/>
        <v>915666.7200000002</v>
      </c>
      <c r="T53" s="38">
        <f t="shared" ca="1" si="14"/>
        <v>9014840.9600000028</v>
      </c>
      <c r="U53" s="8">
        <f t="shared" ca="1" si="21"/>
        <v>74688177.270983547</v>
      </c>
      <c r="V53" s="8">
        <f t="shared" si="27"/>
        <v>63760520.690275289</v>
      </c>
      <c r="W53" s="8">
        <f t="shared" si="17"/>
        <v>65673336.310983546</v>
      </c>
      <c r="X53" s="8">
        <f t="shared" si="22"/>
        <v>0</v>
      </c>
      <c r="Y53" s="8">
        <f t="shared" si="23"/>
        <v>1912815.6207082586</v>
      </c>
      <c r="Z53" s="8">
        <f t="shared" si="28"/>
        <v>17820000</v>
      </c>
      <c r="AA53" s="7">
        <f t="shared" si="12"/>
        <v>52</v>
      </c>
      <c r="AB53" s="7">
        <f t="shared" si="13"/>
        <v>48</v>
      </c>
      <c r="AC53" s="4" t="str">
        <f t="shared" si="15"/>
        <v>-</v>
      </c>
      <c r="AD53" s="4" t="str">
        <f t="shared" si="16"/>
        <v>-</v>
      </c>
      <c r="AE53" s="36">
        <f>IF(AND(AA53&gt;=4,AA53&lt;=6),$E$56,0)+IF(AND(AA53&gt;=7,AA53&lt;=12),$E$57,0)+IF(AND(AA53&gt;=13,AA53&lt;=15),$E$58,0)+IF(AND(AA53&gt;=16,AA53&lt;=18),$E$59,0)+IF(AND(AA53&gt;=19,AA53&lt;=22),$E$60,0)+IF(AND(AA53&gt;=23,AA53&lt;=24),$E$61,0)+IF(AA53=$B$47,$B$48,0)</f>
        <v>0</v>
      </c>
      <c r="AF53" s="36">
        <f>IF(AND(AB53&gt;=4,AB53&lt;=6),$E$65,0)+IF(AND(AB53&gt;=7,AB53&lt;=12),$E$66,0)+IF(AND(AB53&gt;=13,AB53&lt;=15),$E$67,0)+IF(AND(AB53&gt;=16,AB53&lt;=18),$E$68,0)+IF(AND(AB53&gt;=19,AB53&lt;=22),$E$69,0)+IF(AND(AB53&gt;=23,AB53&lt;=24),$E$70,0)+IF(AB53=$B$47,$B$48,0)</f>
        <v>0</v>
      </c>
      <c r="AG53" s="36">
        <f>IF(AND(AC53&gt;=4,AC53&lt;=6),$E$74,0)+IF(AND(AC53&gt;=7,AC53&lt;=12),$E$75,0)+IF(AND(AC53&gt;=13,AC53&lt;=15),$E$76,0)+IF(AND(AC53&gt;=16,AC53&lt;=18),$E$77,0)+IF(AND(AC53&gt;=19,AC53&lt;=22),$E$78,0)+IF(AND(AC53&gt;=23,AC53&lt;=24),$E$79,0)+IF(AC53=$B$47,$B$48,0)</f>
        <v>0</v>
      </c>
      <c r="AH53" s="36">
        <f>IF(AND(AD53&gt;=4,AD53&lt;=6),$E$83,0)+IF(AND(AD53&gt;=7,AD53&lt;=12),$E$84,0)+IF(AND(AD53&gt;=13,AD53&lt;=15),$E$85,0)+IF(AND(AD53&gt;=16,AD53&lt;=18),$E$86,0)+IF(AND(AD53&gt;=19,AD53&lt;=22),$E$87,0)+IF(AND(AD53&gt;=23,AD53&lt;=24),$E$88,0)+IF(AD53=$B$47,$B$48,0)</f>
        <v>0</v>
      </c>
      <c r="AI53" s="4"/>
    </row>
    <row r="54" spans="1:35" ht="16" customHeight="1">
      <c r="A54" s="21" t="s">
        <v>97</v>
      </c>
      <c r="N54" s="4">
        <f t="shared" si="7"/>
        <v>51</v>
      </c>
      <c r="O54" s="8">
        <f t="shared" si="18"/>
        <v>83</v>
      </c>
      <c r="P54" s="8">
        <f t="shared" ca="1" si="8"/>
        <v>2716506.72</v>
      </c>
      <c r="Q54" s="8">
        <f t="shared" si="19"/>
        <v>-1800840</v>
      </c>
      <c r="R54" s="8">
        <f t="shared" si="9"/>
        <v>0</v>
      </c>
      <c r="S54" s="8">
        <f t="shared" ca="1" si="20"/>
        <v>915666.7200000002</v>
      </c>
      <c r="T54" s="38">
        <f t="shared" ca="1" si="14"/>
        <v>9930507.6800000034</v>
      </c>
      <c r="U54" s="8">
        <f t="shared" ca="1" si="21"/>
        <v>77574044.080313057</v>
      </c>
      <c r="V54" s="8">
        <f t="shared" si="27"/>
        <v>65673336.310983546</v>
      </c>
      <c r="W54" s="8">
        <f t="shared" si="17"/>
        <v>67643536.40031305</v>
      </c>
      <c r="X54" s="8">
        <f t="shared" si="22"/>
        <v>0</v>
      </c>
      <c r="Y54" s="8">
        <f t="shared" si="23"/>
        <v>1970200.0893295063</v>
      </c>
      <c r="Z54" s="8">
        <f t="shared" si="28"/>
        <v>17820000</v>
      </c>
      <c r="AA54" s="7">
        <f t="shared" si="12"/>
        <v>53</v>
      </c>
      <c r="AB54" s="7">
        <f t="shared" si="13"/>
        <v>49</v>
      </c>
      <c r="AC54" s="4" t="str">
        <f t="shared" si="15"/>
        <v>-</v>
      </c>
      <c r="AD54" s="4" t="str">
        <f t="shared" si="16"/>
        <v>-</v>
      </c>
      <c r="AE54" s="36">
        <f>IF(AND(AA54&gt;=4,AA54&lt;=6),$E$56,0)+IF(AND(AA54&gt;=7,AA54&lt;=12),$E$57,0)+IF(AND(AA54&gt;=13,AA54&lt;=15),$E$58,0)+IF(AND(AA54&gt;=16,AA54&lt;=18),$E$59,0)+IF(AND(AA54&gt;=19,AA54&lt;=22),$E$60,0)+IF(AND(AA54&gt;=23,AA54&lt;=24),$E$61,0)+IF(AA54=$B$47,$B$48,0)</f>
        <v>0</v>
      </c>
      <c r="AF54" s="36">
        <f>IF(AND(AB54&gt;=4,AB54&lt;=6),$E$65,0)+IF(AND(AB54&gt;=7,AB54&lt;=12),$E$66,0)+IF(AND(AB54&gt;=13,AB54&lt;=15),$E$67,0)+IF(AND(AB54&gt;=16,AB54&lt;=18),$E$68,0)+IF(AND(AB54&gt;=19,AB54&lt;=22),$E$69,0)+IF(AND(AB54&gt;=23,AB54&lt;=24),$E$70,0)+IF(AB54=$B$47,$B$48,0)</f>
        <v>0</v>
      </c>
      <c r="AG54" s="36">
        <f>IF(AND(AC54&gt;=4,AC54&lt;=6),$E$74,0)+IF(AND(AC54&gt;=7,AC54&lt;=12),$E$75,0)+IF(AND(AC54&gt;=13,AC54&lt;=15),$E$76,0)+IF(AND(AC54&gt;=16,AC54&lt;=18),$E$77,0)+IF(AND(AC54&gt;=19,AC54&lt;=22),$E$78,0)+IF(AND(AC54&gt;=23,AC54&lt;=24),$E$79,0)+IF(AC54=$B$47,$B$48,0)</f>
        <v>0</v>
      </c>
      <c r="AH54" s="36">
        <f>IF(AND(AD54&gt;=4,AD54&lt;=6),$E$83,0)+IF(AND(AD54&gt;=7,AD54&lt;=12),$E$84,0)+IF(AND(AD54&gt;=13,AD54&lt;=15),$E$85,0)+IF(AND(AD54&gt;=16,AD54&lt;=18),$E$86,0)+IF(AND(AD54&gt;=19,AD54&lt;=22),$E$87,0)+IF(AND(AD54&gt;=23,AD54&lt;=24),$E$88,0)+IF(AD54=$B$47,$B$48,0)</f>
        <v>0</v>
      </c>
      <c r="AI54" s="4"/>
    </row>
    <row r="55" spans="1:35" ht="16" customHeight="1">
      <c r="A55" s="32" t="s">
        <v>66</v>
      </c>
      <c r="B55" s="26" t="s">
        <v>82</v>
      </c>
      <c r="C55" s="26" t="s">
        <v>100</v>
      </c>
      <c r="D55" s="32" t="s">
        <v>99</v>
      </c>
      <c r="E55" s="32" t="s">
        <v>98</v>
      </c>
      <c r="N55" s="4">
        <f t="shared" si="7"/>
        <v>52</v>
      </c>
      <c r="O55" s="8">
        <f t="shared" si="18"/>
        <v>84</v>
      </c>
      <c r="P55" s="8">
        <f t="shared" ca="1" si="8"/>
        <v>2716506.72</v>
      </c>
      <c r="Q55" s="8">
        <f t="shared" si="19"/>
        <v>-1800840</v>
      </c>
      <c r="R55" s="8">
        <f t="shared" si="9"/>
        <v>0</v>
      </c>
      <c r="S55" s="8">
        <f t="shared" ca="1" si="20"/>
        <v>915666.7200000002</v>
      </c>
      <c r="T55" s="38">
        <f t="shared" ca="1" si="14"/>
        <v>10846174.400000004</v>
      </c>
      <c r="U55" s="8">
        <f t="shared" ca="1" si="21"/>
        <v>80519016.892322451</v>
      </c>
      <c r="V55" s="8">
        <f t="shared" si="27"/>
        <v>67643536.40031305</v>
      </c>
      <c r="W55" s="8">
        <f t="shared" si="17"/>
        <v>69672842.492322445</v>
      </c>
      <c r="X55" s="8">
        <f t="shared" si="22"/>
        <v>0</v>
      </c>
      <c r="Y55" s="8">
        <f t="shared" si="23"/>
        <v>2029306.0920093914</v>
      </c>
      <c r="Z55" s="8">
        <f t="shared" si="28"/>
        <v>17820000</v>
      </c>
      <c r="AA55" s="7">
        <f t="shared" si="12"/>
        <v>54</v>
      </c>
      <c r="AB55" s="7">
        <f t="shared" si="13"/>
        <v>50</v>
      </c>
      <c r="AC55" s="4" t="str">
        <f t="shared" si="15"/>
        <v>-</v>
      </c>
      <c r="AD55" s="4" t="str">
        <f t="shared" si="16"/>
        <v>-</v>
      </c>
      <c r="AE55" s="36">
        <f>IF(AND(AA55&gt;=4,AA55&lt;=6),$E$56,0)+IF(AND(AA55&gt;=7,AA55&lt;=12),$E$57,0)+IF(AND(AA55&gt;=13,AA55&lt;=15),$E$58,0)+IF(AND(AA55&gt;=16,AA55&lt;=18),$E$59,0)+IF(AND(AA55&gt;=19,AA55&lt;=22),$E$60,0)+IF(AND(AA55&gt;=23,AA55&lt;=24),$E$61,0)+IF(AA55=$B$47,$B$48,0)</f>
        <v>0</v>
      </c>
      <c r="AF55" s="36">
        <f>IF(AND(AB55&gt;=4,AB55&lt;=6),$E$65,0)+IF(AND(AB55&gt;=7,AB55&lt;=12),$E$66,0)+IF(AND(AB55&gt;=13,AB55&lt;=15),$E$67,0)+IF(AND(AB55&gt;=16,AB55&lt;=18),$E$68,0)+IF(AND(AB55&gt;=19,AB55&lt;=22),$E$69,0)+IF(AND(AB55&gt;=23,AB55&lt;=24),$E$70,0)+IF(AB55=$B$47,$B$48,0)</f>
        <v>0</v>
      </c>
      <c r="AG55" s="36">
        <f>IF(AND(AC55&gt;=4,AC55&lt;=6),$E$74,0)+IF(AND(AC55&gt;=7,AC55&lt;=12),$E$75,0)+IF(AND(AC55&gt;=13,AC55&lt;=15),$E$76,0)+IF(AND(AC55&gt;=16,AC55&lt;=18),$E$77,0)+IF(AND(AC55&gt;=19,AC55&lt;=22),$E$78,0)+IF(AND(AC55&gt;=23,AC55&lt;=24),$E$79,0)+IF(AC55=$B$47,$B$48,0)</f>
        <v>0</v>
      </c>
      <c r="AH55" s="36">
        <f>IF(AND(AD55&gt;=4,AD55&lt;=6),$E$83,0)+IF(AND(AD55&gt;=7,AD55&lt;=12),$E$84,0)+IF(AND(AD55&gt;=13,AD55&lt;=15),$E$85,0)+IF(AND(AD55&gt;=16,AD55&lt;=18),$E$86,0)+IF(AND(AD55&gt;=19,AD55&lt;=22),$E$87,0)+IF(AND(AD55&gt;=23,AD55&lt;=24),$E$88,0)+IF(AD55=$B$47,$B$48,0)</f>
        <v>0</v>
      </c>
      <c r="AI55" s="4"/>
    </row>
    <row r="56" spans="1:35" ht="16" customHeight="1">
      <c r="A56" s="64" t="s">
        <v>81</v>
      </c>
      <c r="B56" s="33" t="s">
        <v>76</v>
      </c>
      <c r="C56" s="29">
        <f>IF(B56=AK$4,AK$5,IF(B56=AL$4,AL$5,0))*10000</f>
        <v>1600000</v>
      </c>
      <c r="D56" s="34">
        <v>100000</v>
      </c>
      <c r="E56" s="31">
        <f>C56/3+D56</f>
        <v>633333.33333333337</v>
      </c>
      <c r="N56" s="4">
        <f t="shared" si="7"/>
        <v>53</v>
      </c>
      <c r="O56" s="8">
        <f t="shared" si="18"/>
        <v>85</v>
      </c>
      <c r="P56" s="8">
        <f t="shared" ca="1" si="8"/>
        <v>2716506.72</v>
      </c>
      <c r="Q56" s="8">
        <f t="shared" si="19"/>
        <v>-1800840</v>
      </c>
      <c r="R56" s="8">
        <f t="shared" si="9"/>
        <v>0</v>
      </c>
      <c r="S56" s="8">
        <f t="shared" ca="1" si="20"/>
        <v>915666.7200000002</v>
      </c>
      <c r="T56" s="38">
        <f t="shared" ca="1" si="14"/>
        <v>11761841.120000005</v>
      </c>
      <c r="U56" s="8">
        <f t="shared" ca="1" si="21"/>
        <v>83524868.887092128</v>
      </c>
      <c r="V56" s="8">
        <f t="shared" si="27"/>
        <v>69672842.492322445</v>
      </c>
      <c r="W56" s="8">
        <f t="shared" si="17"/>
        <v>71763027.767092124</v>
      </c>
      <c r="X56" s="8">
        <f t="shared" si="22"/>
        <v>0</v>
      </c>
      <c r="Y56" s="8">
        <f t="shared" si="23"/>
        <v>2090185.2747696734</v>
      </c>
      <c r="Z56" s="8">
        <f t="shared" si="28"/>
        <v>17820000</v>
      </c>
      <c r="AA56" s="7">
        <f t="shared" si="12"/>
        <v>55</v>
      </c>
      <c r="AB56" s="7">
        <f t="shared" si="13"/>
        <v>51</v>
      </c>
      <c r="AC56" s="4" t="str">
        <f t="shared" si="15"/>
        <v>-</v>
      </c>
      <c r="AD56" s="4" t="str">
        <f t="shared" si="16"/>
        <v>-</v>
      </c>
      <c r="AE56" s="36">
        <f>IF(AND(AA56&gt;=4,AA56&lt;=6),$E$56,0)+IF(AND(AA56&gt;=7,AA56&lt;=12),$E$57,0)+IF(AND(AA56&gt;=13,AA56&lt;=15),$E$58,0)+IF(AND(AA56&gt;=16,AA56&lt;=18),$E$59,0)+IF(AND(AA56&gt;=19,AA56&lt;=22),$E$60,0)+IF(AND(AA56&gt;=23,AA56&lt;=24),$E$61,0)+IF(AA56=$B$47,$B$48,0)</f>
        <v>0</v>
      </c>
      <c r="AF56" s="36">
        <f>IF(AND(AB56&gt;=4,AB56&lt;=6),$E$65,0)+IF(AND(AB56&gt;=7,AB56&lt;=12),$E$66,0)+IF(AND(AB56&gt;=13,AB56&lt;=15),$E$67,0)+IF(AND(AB56&gt;=16,AB56&lt;=18),$E$68,0)+IF(AND(AB56&gt;=19,AB56&lt;=22),$E$69,0)+IF(AND(AB56&gt;=23,AB56&lt;=24),$E$70,0)+IF(AB56=$B$47,$B$48,0)</f>
        <v>0</v>
      </c>
      <c r="AG56" s="36">
        <f>IF(AND(AC56&gt;=4,AC56&lt;=6),$E$74,0)+IF(AND(AC56&gt;=7,AC56&lt;=12),$E$75,0)+IF(AND(AC56&gt;=13,AC56&lt;=15),$E$76,0)+IF(AND(AC56&gt;=16,AC56&lt;=18),$E$77,0)+IF(AND(AC56&gt;=19,AC56&lt;=22),$E$78,0)+IF(AND(AC56&gt;=23,AC56&lt;=24),$E$79,0)+IF(AC56=$B$47,$B$48,0)</f>
        <v>0</v>
      </c>
      <c r="AH56" s="36">
        <f>IF(AND(AD56&gt;=4,AD56&lt;=6),$E$83,0)+IF(AND(AD56&gt;=7,AD56&lt;=12),$E$84,0)+IF(AND(AD56&gt;=13,AD56&lt;=15),$E$85,0)+IF(AND(AD56&gt;=16,AD56&lt;=18),$E$86,0)+IF(AND(AD56&gt;=19,AD56&lt;=22),$E$87,0)+IF(AND(AD56&gt;=23,AD56&lt;=24),$E$88,0)+IF(AD56=$B$47,$B$48,0)</f>
        <v>0</v>
      </c>
      <c r="AI56" s="4"/>
    </row>
    <row r="57" spans="1:35" ht="16" customHeight="1">
      <c r="A57" s="64" t="s">
        <v>71</v>
      </c>
      <c r="B57" s="33" t="s">
        <v>77</v>
      </c>
      <c r="C57" s="29">
        <f>IF(B57=AK$4,AK$6,IF(B57=AL$4,AL$6,0))*10000</f>
        <v>1900000</v>
      </c>
      <c r="D57" s="34">
        <f>2000000/6</f>
        <v>333333.33333333331</v>
      </c>
      <c r="E57">
        <f>C57/6+D57</f>
        <v>650000</v>
      </c>
      <c r="N57" s="4">
        <f t="shared" si="7"/>
        <v>54</v>
      </c>
      <c r="O57" s="8">
        <f t="shared" si="18"/>
        <v>86</v>
      </c>
      <c r="P57" s="8">
        <f t="shared" ca="1" si="8"/>
        <v>2716506.72</v>
      </c>
      <c r="Q57" s="8">
        <f t="shared" si="19"/>
        <v>-1800840</v>
      </c>
      <c r="R57" s="8">
        <f t="shared" si="9"/>
        <v>0</v>
      </c>
      <c r="S57" s="8">
        <f t="shared" ca="1" si="20"/>
        <v>915666.7200000002</v>
      </c>
      <c r="T57" s="38">
        <f t="shared" ca="1" si="14"/>
        <v>12677507.840000005</v>
      </c>
      <c r="U57" s="8">
        <f t="shared" ca="1" si="21"/>
        <v>86593426.440104887</v>
      </c>
      <c r="V57" s="8">
        <f t="shared" si="27"/>
        <v>71763027.767092124</v>
      </c>
      <c r="W57" s="8">
        <f t="shared" si="17"/>
        <v>73915918.600104883</v>
      </c>
      <c r="X57" s="8">
        <f t="shared" si="22"/>
        <v>0</v>
      </c>
      <c r="Y57" s="8">
        <f t="shared" si="23"/>
        <v>2152890.8330127634</v>
      </c>
      <c r="Z57" s="8">
        <f t="shared" si="28"/>
        <v>17820000</v>
      </c>
      <c r="AA57" s="7">
        <f t="shared" si="12"/>
        <v>56</v>
      </c>
      <c r="AB57" s="7">
        <f t="shared" si="13"/>
        <v>52</v>
      </c>
      <c r="AC57" s="4" t="str">
        <f t="shared" si="15"/>
        <v>-</v>
      </c>
      <c r="AD57" s="4" t="str">
        <f t="shared" si="16"/>
        <v>-</v>
      </c>
      <c r="AE57" s="36">
        <f>IF(AND(AA57&gt;=4,AA57&lt;=6),$E$56,0)+IF(AND(AA57&gt;=7,AA57&lt;=12),$E$57,0)+IF(AND(AA57&gt;=13,AA57&lt;=15),$E$58,0)+IF(AND(AA57&gt;=16,AA57&lt;=18),$E$59,0)+IF(AND(AA57&gt;=19,AA57&lt;=22),$E$60,0)+IF(AND(AA57&gt;=23,AA57&lt;=24),$E$61,0)+IF(AA57=$B$47,$B$48,0)</f>
        <v>0</v>
      </c>
      <c r="AF57" s="36">
        <f>IF(AND(AB57&gt;=4,AB57&lt;=6),$E$65,0)+IF(AND(AB57&gt;=7,AB57&lt;=12),$E$66,0)+IF(AND(AB57&gt;=13,AB57&lt;=15),$E$67,0)+IF(AND(AB57&gt;=16,AB57&lt;=18),$E$68,0)+IF(AND(AB57&gt;=19,AB57&lt;=22),$E$69,0)+IF(AND(AB57&gt;=23,AB57&lt;=24),$E$70,0)+IF(AB57=$B$47,$B$48,0)</f>
        <v>0</v>
      </c>
      <c r="AG57" s="36">
        <f>IF(AND(AC57&gt;=4,AC57&lt;=6),$E$74,0)+IF(AND(AC57&gt;=7,AC57&lt;=12),$E$75,0)+IF(AND(AC57&gt;=13,AC57&lt;=15),$E$76,0)+IF(AND(AC57&gt;=16,AC57&lt;=18),$E$77,0)+IF(AND(AC57&gt;=19,AC57&lt;=22),$E$78,0)+IF(AND(AC57&gt;=23,AC57&lt;=24),$E$79,0)+IF(AC57=$B$47,$B$48,0)</f>
        <v>0</v>
      </c>
      <c r="AH57" s="36">
        <f>IF(AND(AD57&gt;=4,AD57&lt;=6),$E$83,0)+IF(AND(AD57&gt;=7,AD57&lt;=12),$E$84,0)+IF(AND(AD57&gt;=13,AD57&lt;=15),$E$85,0)+IF(AND(AD57&gt;=16,AD57&lt;=18),$E$86,0)+IF(AND(AD57&gt;=19,AD57&lt;=22),$E$87,0)+IF(AND(AD57&gt;=23,AD57&lt;=24),$E$88,0)+IF(AD57=$B$47,$B$48,0)</f>
        <v>0</v>
      </c>
      <c r="AI57" s="4"/>
    </row>
    <row r="58" spans="1:35" ht="16" customHeight="1">
      <c r="A58" s="64" t="s">
        <v>72</v>
      </c>
      <c r="B58" s="33" t="s">
        <v>77</v>
      </c>
      <c r="C58" s="29">
        <f>IF(B58=AK$4,AK$8,IF(B58=AL$4,AL$8,0))*10000</f>
        <v>1400000</v>
      </c>
      <c r="D58" s="37">
        <f>1500000/3</f>
        <v>500000</v>
      </c>
      <c r="E58" s="29">
        <f>C58/3+D58</f>
        <v>966666.66666666674</v>
      </c>
      <c r="F58" s="21"/>
      <c r="I58" s="21"/>
      <c r="J58" s="21"/>
      <c r="K58" s="21"/>
      <c r="L58" s="21"/>
      <c r="M58" s="21"/>
      <c r="N58" s="4">
        <f t="shared" si="7"/>
        <v>55</v>
      </c>
      <c r="O58" s="8">
        <f t="shared" si="18"/>
        <v>87</v>
      </c>
      <c r="P58" s="8">
        <f t="shared" ca="1" si="8"/>
        <v>2716506.72</v>
      </c>
      <c r="Q58" s="8">
        <f t="shared" si="19"/>
        <v>-1800840</v>
      </c>
      <c r="R58" s="8">
        <f t="shared" si="9"/>
        <v>0</v>
      </c>
      <c r="S58" s="8">
        <f t="shared" ca="1" si="20"/>
        <v>915666.7200000002</v>
      </c>
      <c r="T58" s="38">
        <f t="shared" ca="1" si="14"/>
        <v>13593174.560000006</v>
      </c>
      <c r="U58" s="8">
        <f t="shared" ca="1" si="21"/>
        <v>89726570.718108028</v>
      </c>
      <c r="V58" s="8">
        <f t="shared" si="27"/>
        <v>73915918.600104883</v>
      </c>
      <c r="W58" s="8">
        <f t="shared" si="17"/>
        <v>76133396.158108026</v>
      </c>
      <c r="X58" s="8">
        <f t="shared" si="22"/>
        <v>0</v>
      </c>
      <c r="Y58" s="8">
        <f t="shared" si="23"/>
        <v>2217477.5580031462</v>
      </c>
      <c r="Z58" s="8">
        <f t="shared" si="28"/>
        <v>17820000</v>
      </c>
      <c r="AA58" s="7">
        <f t="shared" si="12"/>
        <v>57</v>
      </c>
      <c r="AB58" s="7">
        <f t="shared" si="13"/>
        <v>53</v>
      </c>
      <c r="AC58" s="4" t="str">
        <f t="shared" si="15"/>
        <v>-</v>
      </c>
      <c r="AD58" s="4" t="str">
        <f t="shared" si="16"/>
        <v>-</v>
      </c>
      <c r="AE58" s="36">
        <f>IF(AND(AA58&gt;=4,AA58&lt;=6),$E$56,0)+IF(AND(AA58&gt;=7,AA58&lt;=12),$E$57,0)+IF(AND(AA58&gt;=13,AA58&lt;=15),$E$58,0)+IF(AND(AA58&gt;=16,AA58&lt;=18),$E$59,0)+IF(AND(AA58&gt;=19,AA58&lt;=22),$E$60,0)+IF(AND(AA58&gt;=23,AA58&lt;=24),$E$61,0)+IF(AA58=$B$47,$B$48,0)</f>
        <v>0</v>
      </c>
      <c r="AF58" s="36">
        <f>IF(AND(AB58&gt;=4,AB58&lt;=6),$E$65,0)+IF(AND(AB58&gt;=7,AB58&lt;=12),$E$66,0)+IF(AND(AB58&gt;=13,AB58&lt;=15),$E$67,0)+IF(AND(AB58&gt;=16,AB58&lt;=18),$E$68,0)+IF(AND(AB58&gt;=19,AB58&lt;=22),$E$69,0)+IF(AND(AB58&gt;=23,AB58&lt;=24),$E$70,0)+IF(AB58=$B$47,$B$48,0)</f>
        <v>0</v>
      </c>
      <c r="AG58" s="36">
        <f>IF(AND(AC58&gt;=4,AC58&lt;=6),$E$74,0)+IF(AND(AC58&gt;=7,AC58&lt;=12),$E$75,0)+IF(AND(AC58&gt;=13,AC58&lt;=15),$E$76,0)+IF(AND(AC58&gt;=16,AC58&lt;=18),$E$77,0)+IF(AND(AC58&gt;=19,AC58&lt;=22),$E$78,0)+IF(AND(AC58&gt;=23,AC58&lt;=24),$E$79,0)+IF(AC58=$B$47,$B$48,0)</f>
        <v>0</v>
      </c>
      <c r="AH58" s="36">
        <f>IF(AND(AD58&gt;=4,AD58&lt;=6),$E$83,0)+IF(AND(AD58&gt;=7,AD58&lt;=12),$E$84,0)+IF(AND(AD58&gt;=13,AD58&lt;=15),$E$85,0)+IF(AND(AD58&gt;=16,AD58&lt;=18),$E$86,0)+IF(AND(AD58&gt;=19,AD58&lt;=22),$E$87,0)+IF(AND(AD58&gt;=23,AD58&lt;=24),$E$88,0)+IF(AD58=$B$47,$B$48,0)</f>
        <v>0</v>
      </c>
      <c r="AI58" s="4"/>
    </row>
    <row r="59" spans="1:35" ht="16" customHeight="1">
      <c r="A59" s="64" t="s">
        <v>73</v>
      </c>
      <c r="B59" s="33" t="s">
        <v>76</v>
      </c>
      <c r="C59" s="29">
        <f>IF(B59=AK$4,AK$7,IF(B59=AL$4,AL$7,0))*10000</f>
        <v>4200000</v>
      </c>
      <c r="D59" s="37">
        <f>1500000/3</f>
        <v>500000</v>
      </c>
      <c r="E59" s="29">
        <f>C59/3+D59</f>
        <v>1900000</v>
      </c>
      <c r="F59" s="31"/>
      <c r="I59" s="31"/>
      <c r="J59" s="31"/>
      <c r="K59" s="31"/>
      <c r="L59" s="31"/>
      <c r="M59" s="31"/>
      <c r="N59" s="4">
        <f t="shared" si="7"/>
        <v>56</v>
      </c>
      <c r="O59" s="8">
        <f t="shared" si="18"/>
        <v>88</v>
      </c>
      <c r="P59" s="8">
        <f t="shared" ca="1" si="8"/>
        <v>2716506.72</v>
      </c>
      <c r="Q59" s="8">
        <f t="shared" si="19"/>
        <v>-1800840</v>
      </c>
      <c r="R59" s="8">
        <f t="shared" si="9"/>
        <v>0</v>
      </c>
      <c r="S59" s="8">
        <f t="shared" ca="1" si="20"/>
        <v>915666.7200000002</v>
      </c>
      <c r="T59" s="38">
        <f t="shared" ca="1" si="14"/>
        <v>14508841.280000007</v>
      </c>
      <c r="U59" s="8">
        <f t="shared" ca="1" si="21"/>
        <v>92926239.32285127</v>
      </c>
      <c r="V59" s="8">
        <f t="shared" si="27"/>
        <v>76133396.158108026</v>
      </c>
      <c r="W59" s="8">
        <f t="shared" si="17"/>
        <v>78417398.042851269</v>
      </c>
      <c r="X59" s="8">
        <f t="shared" si="22"/>
        <v>0</v>
      </c>
      <c r="Y59" s="8">
        <f t="shared" si="23"/>
        <v>2284001.8847432407</v>
      </c>
      <c r="Z59" s="8">
        <f t="shared" si="28"/>
        <v>17820000</v>
      </c>
      <c r="AA59" s="7">
        <f t="shared" si="12"/>
        <v>58</v>
      </c>
      <c r="AB59" s="7">
        <f t="shared" si="13"/>
        <v>54</v>
      </c>
      <c r="AC59" s="4" t="str">
        <f t="shared" si="15"/>
        <v>-</v>
      </c>
      <c r="AD59" s="4" t="str">
        <f t="shared" si="16"/>
        <v>-</v>
      </c>
      <c r="AE59" s="36">
        <f>IF(AND(AA59&gt;=4,AA59&lt;=6),$E$56,0)+IF(AND(AA59&gt;=7,AA59&lt;=12),$E$57,0)+IF(AND(AA59&gt;=13,AA59&lt;=15),$E$58,0)+IF(AND(AA59&gt;=16,AA59&lt;=18),$E$59,0)+IF(AND(AA59&gt;=19,AA59&lt;=22),$E$60,0)+IF(AND(AA59&gt;=23,AA59&lt;=24),$E$61,0)+IF(AA59=$B$47,$B$48,0)</f>
        <v>0</v>
      </c>
      <c r="AF59" s="36">
        <f>IF(AND(AB59&gt;=4,AB59&lt;=6),$E$65,0)+IF(AND(AB59&gt;=7,AB59&lt;=12),$E$66,0)+IF(AND(AB59&gt;=13,AB59&lt;=15),$E$67,0)+IF(AND(AB59&gt;=16,AB59&lt;=18),$E$68,0)+IF(AND(AB59&gt;=19,AB59&lt;=22),$E$69,0)+IF(AND(AB59&gt;=23,AB59&lt;=24),$E$70,0)+IF(AB59=$B$47,$B$48,0)</f>
        <v>0</v>
      </c>
      <c r="AG59" s="36">
        <f>IF(AND(AC59&gt;=4,AC59&lt;=6),$E$74,0)+IF(AND(AC59&gt;=7,AC59&lt;=12),$E$75,0)+IF(AND(AC59&gt;=13,AC59&lt;=15),$E$76,0)+IF(AND(AC59&gt;=16,AC59&lt;=18),$E$77,0)+IF(AND(AC59&gt;=19,AC59&lt;=22),$E$78,0)+IF(AND(AC59&gt;=23,AC59&lt;=24),$E$79,0)+IF(AC59=$B$47,$B$48,0)</f>
        <v>0</v>
      </c>
      <c r="AH59" s="36">
        <f>IF(AND(AD59&gt;=4,AD59&lt;=6),$E$83,0)+IF(AND(AD59&gt;=7,AD59&lt;=12),$E$84,0)+IF(AND(AD59&gt;=13,AD59&lt;=15),$E$85,0)+IF(AND(AD59&gt;=16,AD59&lt;=18),$E$86,0)+IF(AND(AD59&gt;=19,AD59&lt;=22),$E$87,0)+IF(AND(AD59&gt;=23,AD59&lt;=24),$E$88,0)+IF(AD59=$B$47,$B$48,0)</f>
        <v>0</v>
      </c>
      <c r="AI59" s="4"/>
    </row>
    <row r="60" spans="1:35" ht="16" customHeight="1">
      <c r="A60" s="64" t="s">
        <v>74</v>
      </c>
      <c r="B60" s="33" t="s">
        <v>79</v>
      </c>
      <c r="C60" s="29">
        <f>IF(B60=AK$9,AK$10,IF(B60=AL$9,AL$10,IF(B60=AM$9,AM$10,0)))*10000</f>
        <v>5400000</v>
      </c>
      <c r="E60">
        <f>C60/4</f>
        <v>1350000</v>
      </c>
      <c r="N60" s="4">
        <f t="shared" si="7"/>
        <v>57</v>
      </c>
      <c r="O60" s="8">
        <f t="shared" si="18"/>
        <v>89</v>
      </c>
      <c r="P60" s="8">
        <f t="shared" ca="1" si="8"/>
        <v>2716506.72</v>
      </c>
      <c r="Q60" s="8">
        <f t="shared" si="19"/>
        <v>-1800840</v>
      </c>
      <c r="R60" s="8">
        <f t="shared" si="9"/>
        <v>0</v>
      </c>
      <c r="S60" s="8">
        <f t="shared" ca="1" si="20"/>
        <v>915666.7200000002</v>
      </c>
      <c r="T60" s="38">
        <f t="shared" ca="1" si="14"/>
        <v>15424508.000000007</v>
      </c>
      <c r="U60" s="8">
        <f t="shared" ca="1" si="21"/>
        <v>96194427.98413682</v>
      </c>
      <c r="V60" s="8">
        <f t="shared" si="27"/>
        <v>78417398.042851269</v>
      </c>
      <c r="W60" s="8">
        <f t="shared" si="17"/>
        <v>80769919.984136805</v>
      </c>
      <c r="X60" s="8">
        <f t="shared" si="22"/>
        <v>0</v>
      </c>
      <c r="Y60" s="8">
        <f t="shared" si="23"/>
        <v>2352521.941285538</v>
      </c>
      <c r="Z60" s="8">
        <f t="shared" si="28"/>
        <v>17820000</v>
      </c>
      <c r="AA60" s="7">
        <f t="shared" si="12"/>
        <v>59</v>
      </c>
      <c r="AB60" s="7">
        <f t="shared" si="13"/>
        <v>55</v>
      </c>
      <c r="AC60" s="4" t="str">
        <f t="shared" si="15"/>
        <v>-</v>
      </c>
      <c r="AD60" s="4" t="str">
        <f t="shared" si="16"/>
        <v>-</v>
      </c>
      <c r="AE60" s="36">
        <f>IF(AND(AA60&gt;=4,AA60&lt;=6),$E$56,0)+IF(AND(AA60&gt;=7,AA60&lt;=12),$E$57,0)+IF(AND(AA60&gt;=13,AA60&lt;=15),$E$58,0)+IF(AND(AA60&gt;=16,AA60&lt;=18),$E$59,0)+IF(AND(AA60&gt;=19,AA60&lt;=22),$E$60,0)+IF(AND(AA60&gt;=23,AA60&lt;=24),$E$61,0)+IF(AA60=$B$47,$B$48,0)</f>
        <v>0</v>
      </c>
      <c r="AF60" s="36">
        <f>IF(AND(AB60&gt;=4,AB60&lt;=6),$E$65,0)+IF(AND(AB60&gt;=7,AB60&lt;=12),$E$66,0)+IF(AND(AB60&gt;=13,AB60&lt;=15),$E$67,0)+IF(AND(AB60&gt;=16,AB60&lt;=18),$E$68,0)+IF(AND(AB60&gt;=19,AB60&lt;=22),$E$69,0)+IF(AND(AB60&gt;=23,AB60&lt;=24),$E$70,0)+IF(AB60=$B$47,$B$48,0)</f>
        <v>0</v>
      </c>
      <c r="AG60" s="36">
        <f>IF(AND(AC60&gt;=4,AC60&lt;=6),$E$74,0)+IF(AND(AC60&gt;=7,AC60&lt;=12),$E$75,0)+IF(AND(AC60&gt;=13,AC60&lt;=15),$E$76,0)+IF(AND(AC60&gt;=16,AC60&lt;=18),$E$77,0)+IF(AND(AC60&gt;=19,AC60&lt;=22),$E$78,0)+IF(AND(AC60&gt;=23,AC60&lt;=24),$E$79,0)+IF(AC60=$B$47,$B$48,0)</f>
        <v>0</v>
      </c>
      <c r="AH60" s="36">
        <f>IF(AND(AD60&gt;=4,AD60&lt;=6),$E$83,0)+IF(AND(AD60&gt;=7,AD60&lt;=12),$E$84,0)+IF(AND(AD60&gt;=13,AD60&lt;=15),$E$85,0)+IF(AND(AD60&gt;=16,AD60&lt;=18),$E$86,0)+IF(AND(AD60&gt;=19,AD60&lt;=22),$E$87,0)+IF(AND(AD60&gt;=23,AD60&lt;=24),$E$88,0)+IF(AD60=$B$47,$B$48,0)</f>
        <v>0</v>
      </c>
      <c r="AI60" s="4"/>
    </row>
    <row r="61" spans="1:35" ht="16" customHeight="1">
      <c r="A61" s="64" t="s">
        <v>75</v>
      </c>
      <c r="B61" s="33" t="s">
        <v>79</v>
      </c>
      <c r="C61" s="29">
        <f>IF(B61=AK$9,AK$11,IF(B61=AL$9,AL$11,IF(B61=AM$9,AM$11,0)))*10000</f>
        <v>2700000</v>
      </c>
      <c r="E61">
        <f>C61/2</f>
        <v>1350000</v>
      </c>
      <c r="F61" s="29"/>
      <c r="I61" s="29"/>
      <c r="J61" s="29"/>
      <c r="K61" s="29"/>
      <c r="L61" s="29"/>
      <c r="M61" s="29"/>
      <c r="N61" s="4">
        <f t="shared" si="7"/>
        <v>58</v>
      </c>
      <c r="O61" s="8">
        <f t="shared" si="18"/>
        <v>90</v>
      </c>
      <c r="P61" s="8">
        <f t="shared" ca="1" si="8"/>
        <v>2716506.72</v>
      </c>
      <c r="Q61" s="8">
        <f t="shared" si="19"/>
        <v>-1800840</v>
      </c>
      <c r="R61" s="8">
        <f t="shared" si="9"/>
        <v>0</v>
      </c>
      <c r="S61" s="8">
        <f t="shared" ca="1" si="20"/>
        <v>915666.7200000002</v>
      </c>
      <c r="T61" s="38">
        <f t="shared" ca="1" si="14"/>
        <v>16340174.720000008</v>
      </c>
      <c r="U61" s="8">
        <f t="shared" ca="1" si="21"/>
        <v>99533192.303660929</v>
      </c>
      <c r="V61" s="8">
        <f t="shared" si="27"/>
        <v>80769919.984136805</v>
      </c>
      <c r="W61" s="8">
        <f t="shared" si="17"/>
        <v>83193017.583660915</v>
      </c>
      <c r="X61" s="8">
        <f t="shared" si="22"/>
        <v>0</v>
      </c>
      <c r="Y61" s="8">
        <f t="shared" si="23"/>
        <v>2423097.599524104</v>
      </c>
      <c r="Z61" s="8">
        <f t="shared" si="28"/>
        <v>17820000</v>
      </c>
      <c r="AA61" s="7">
        <f t="shared" si="12"/>
        <v>60</v>
      </c>
      <c r="AB61" s="7">
        <f t="shared" si="13"/>
        <v>56</v>
      </c>
      <c r="AC61" s="4" t="str">
        <f t="shared" si="15"/>
        <v>-</v>
      </c>
      <c r="AD61" s="4" t="str">
        <f t="shared" si="16"/>
        <v>-</v>
      </c>
      <c r="AE61" s="36">
        <f>IF(AND(AA61&gt;=4,AA61&lt;=6),$E$56,0)+IF(AND(AA61&gt;=7,AA61&lt;=12),$E$57,0)+IF(AND(AA61&gt;=13,AA61&lt;=15),$E$58,0)+IF(AND(AA61&gt;=16,AA61&lt;=18),$E$59,0)+IF(AND(AA61&gt;=19,AA61&lt;=22),$E$60,0)+IF(AND(AA61&gt;=23,AA61&lt;=24),$E$61,0)+IF(AA61=$B$47,$B$48,0)</f>
        <v>0</v>
      </c>
      <c r="AF61" s="36">
        <f>IF(AND(AB61&gt;=4,AB61&lt;=6),$E$65,0)+IF(AND(AB61&gt;=7,AB61&lt;=12),$E$66,0)+IF(AND(AB61&gt;=13,AB61&lt;=15),$E$67,0)+IF(AND(AB61&gt;=16,AB61&lt;=18),$E$68,0)+IF(AND(AB61&gt;=19,AB61&lt;=22),$E$69,0)+IF(AND(AB61&gt;=23,AB61&lt;=24),$E$70,0)+IF(AB61=$B$47,$B$48,0)</f>
        <v>0</v>
      </c>
      <c r="AG61" s="36">
        <f>IF(AND(AC61&gt;=4,AC61&lt;=6),$E$74,0)+IF(AND(AC61&gt;=7,AC61&lt;=12),$E$75,0)+IF(AND(AC61&gt;=13,AC61&lt;=15),$E$76,0)+IF(AND(AC61&gt;=16,AC61&lt;=18),$E$77,0)+IF(AND(AC61&gt;=19,AC61&lt;=22),$E$78,0)+IF(AND(AC61&gt;=23,AC61&lt;=24),$E$79,0)+IF(AC61=$B$47,$B$48,0)</f>
        <v>0</v>
      </c>
      <c r="AH61" s="36">
        <f>IF(AND(AD61&gt;=4,AD61&lt;=6),$E$83,0)+IF(AND(AD61&gt;=7,AD61&lt;=12),$E$84,0)+IF(AND(AD61&gt;=13,AD61&lt;=15),$E$85,0)+IF(AND(AD61&gt;=16,AD61&lt;=18),$E$86,0)+IF(AND(AD61&gt;=19,AD61&lt;=22),$E$87,0)+IF(AND(AD61&gt;=23,AD61&lt;=24),$E$88,0)+IF(AD61=$B$47,$B$48,0)</f>
        <v>0</v>
      </c>
      <c r="AI61" s="4"/>
    </row>
    <row r="62" spans="1:35" ht="16" customHeight="1">
      <c r="A62" s="64" t="s">
        <v>85</v>
      </c>
      <c r="B62" s="30"/>
      <c r="C62" s="31">
        <f>SUM(C56:C61)</f>
        <v>17200000</v>
      </c>
      <c r="F62" s="29"/>
      <c r="G62" s="29"/>
      <c r="H62" s="29"/>
      <c r="I62" s="29"/>
      <c r="J62" s="29"/>
      <c r="K62" s="29"/>
      <c r="L62" s="29"/>
      <c r="M62" s="29"/>
      <c r="N62" s="4">
        <f t="shared" si="7"/>
        <v>59</v>
      </c>
      <c r="O62" s="8">
        <f t="shared" si="18"/>
        <v>91</v>
      </c>
      <c r="P62" s="8">
        <f t="shared" ca="1" si="8"/>
        <v>2716506.72</v>
      </c>
      <c r="Q62" s="8">
        <f t="shared" si="19"/>
        <v>-1800840</v>
      </c>
      <c r="R62" s="8">
        <f t="shared" si="9"/>
        <v>0</v>
      </c>
      <c r="S62" s="8">
        <f t="shared" ca="1" si="20"/>
        <v>915666.7200000002</v>
      </c>
      <c r="T62" s="38">
        <f t="shared" ca="1" si="14"/>
        <v>17255841.440000009</v>
      </c>
      <c r="U62" s="8">
        <f t="shared" ca="1" si="21"/>
        <v>102944649.55117075</v>
      </c>
      <c r="V62" s="8">
        <f t="shared" si="27"/>
        <v>83193017.583660915</v>
      </c>
      <c r="W62" s="8">
        <f t="shared" si="17"/>
        <v>85688808.111170739</v>
      </c>
      <c r="X62" s="8">
        <f t="shared" si="22"/>
        <v>0</v>
      </c>
      <c r="Y62" s="8">
        <f t="shared" si="23"/>
        <v>2495790.5275098272</v>
      </c>
      <c r="Z62" s="8">
        <f t="shared" si="28"/>
        <v>17820000</v>
      </c>
      <c r="AA62" s="7">
        <f t="shared" si="12"/>
        <v>61</v>
      </c>
      <c r="AB62" s="7">
        <f t="shared" si="13"/>
        <v>57</v>
      </c>
      <c r="AC62" s="4" t="str">
        <f t="shared" si="15"/>
        <v>-</v>
      </c>
      <c r="AD62" s="4" t="str">
        <f t="shared" si="16"/>
        <v>-</v>
      </c>
      <c r="AE62" s="36">
        <f>IF(AND(AA62&gt;=4,AA62&lt;=6),$E$56,0)+IF(AND(AA62&gt;=7,AA62&lt;=12),$E$57,0)+IF(AND(AA62&gt;=13,AA62&lt;=15),$E$58,0)+IF(AND(AA62&gt;=16,AA62&lt;=18),$E$59,0)+IF(AND(AA62&gt;=19,AA62&lt;=22),$E$60,0)+IF(AND(AA62&gt;=23,AA62&lt;=24),$E$61,0)+IF(AA62=$B$47,$B$48,0)</f>
        <v>0</v>
      </c>
      <c r="AF62" s="36">
        <f>IF(AND(AB62&gt;=4,AB62&lt;=6),$E$65,0)+IF(AND(AB62&gt;=7,AB62&lt;=12),$E$66,0)+IF(AND(AB62&gt;=13,AB62&lt;=15),$E$67,0)+IF(AND(AB62&gt;=16,AB62&lt;=18),$E$68,0)+IF(AND(AB62&gt;=19,AB62&lt;=22),$E$69,0)+IF(AND(AB62&gt;=23,AB62&lt;=24),$E$70,0)+IF(AB62=$B$47,$B$48,0)</f>
        <v>0</v>
      </c>
      <c r="AG62" s="36">
        <f>IF(AND(AC62&gt;=4,AC62&lt;=6),$E$74,0)+IF(AND(AC62&gt;=7,AC62&lt;=12),$E$75,0)+IF(AND(AC62&gt;=13,AC62&lt;=15),$E$76,0)+IF(AND(AC62&gt;=16,AC62&lt;=18),$E$77,0)+IF(AND(AC62&gt;=19,AC62&lt;=22),$E$78,0)+IF(AND(AC62&gt;=23,AC62&lt;=24),$E$79,0)+IF(AC62=$B$47,$B$48,0)</f>
        <v>0</v>
      </c>
      <c r="AH62" s="36">
        <f>IF(AND(AD62&gt;=4,AD62&lt;=6),$E$83,0)+IF(AND(AD62&gt;=7,AD62&lt;=12),$E$84,0)+IF(AND(AD62&gt;=13,AD62&lt;=15),$E$85,0)+IF(AND(AD62&gt;=16,AD62&lt;=18),$E$86,0)+IF(AND(AD62&gt;=19,AD62&lt;=22),$E$87,0)+IF(AND(AD62&gt;=23,AD62&lt;=24),$E$88,0)+IF(AD62=$B$47,$B$48,0)</f>
        <v>0</v>
      </c>
      <c r="AI62" s="4"/>
    </row>
    <row r="63" spans="1:35" ht="16" customHeight="1">
      <c r="A63" s="21"/>
      <c r="B63" s="30"/>
      <c r="C63" s="31"/>
      <c r="N63" s="4">
        <f t="shared" si="7"/>
        <v>60</v>
      </c>
      <c r="O63" s="8">
        <f t="shared" si="18"/>
        <v>92</v>
      </c>
      <c r="P63" s="8">
        <f t="shared" ca="1" si="8"/>
        <v>2716506.72</v>
      </c>
      <c r="Q63" s="8">
        <f t="shared" si="19"/>
        <v>-1800840</v>
      </c>
      <c r="R63" s="8">
        <f t="shared" si="9"/>
        <v>0</v>
      </c>
      <c r="S63" s="8">
        <f t="shared" ca="1" si="20"/>
        <v>915666.7200000002</v>
      </c>
      <c r="T63" s="38">
        <f t="shared" ca="1" si="14"/>
        <v>18171508.160000008</v>
      </c>
      <c r="U63" s="8">
        <f t="shared" ca="1" si="21"/>
        <v>106430980.51450588</v>
      </c>
      <c r="V63" s="8">
        <f t="shared" si="27"/>
        <v>85688808.111170739</v>
      </c>
      <c r="W63" s="8">
        <f t="shared" si="17"/>
        <v>88259472.354505867</v>
      </c>
      <c r="X63" s="8">
        <f t="shared" si="22"/>
        <v>0</v>
      </c>
      <c r="Y63" s="8">
        <f t="shared" si="23"/>
        <v>2570664.2433351222</v>
      </c>
      <c r="Z63" s="8">
        <f t="shared" si="28"/>
        <v>17820000</v>
      </c>
      <c r="AA63" s="7">
        <f t="shared" si="12"/>
        <v>62</v>
      </c>
      <c r="AB63" s="7">
        <f t="shared" si="13"/>
        <v>58</v>
      </c>
      <c r="AC63" s="4" t="str">
        <f t="shared" si="15"/>
        <v>-</v>
      </c>
      <c r="AD63" s="4" t="str">
        <f t="shared" si="16"/>
        <v>-</v>
      </c>
      <c r="AE63" s="36">
        <f>IF(AND(AA63&gt;=4,AA63&lt;=6),$E$56,0)+IF(AND(AA63&gt;=7,AA63&lt;=12),$E$57,0)+IF(AND(AA63&gt;=13,AA63&lt;=15),$E$58,0)+IF(AND(AA63&gt;=16,AA63&lt;=18),$E$59,0)+IF(AND(AA63&gt;=19,AA63&lt;=22),$E$60,0)+IF(AND(AA63&gt;=23,AA63&lt;=24),$E$61,0)+IF(AA63=$B$47,$B$48,0)</f>
        <v>0</v>
      </c>
      <c r="AF63" s="36">
        <f>IF(AND(AB63&gt;=4,AB63&lt;=6),$E$65,0)+IF(AND(AB63&gt;=7,AB63&lt;=12),$E$66,0)+IF(AND(AB63&gt;=13,AB63&lt;=15),$E$67,0)+IF(AND(AB63&gt;=16,AB63&lt;=18),$E$68,0)+IF(AND(AB63&gt;=19,AB63&lt;=22),$E$69,0)+IF(AND(AB63&gt;=23,AB63&lt;=24),$E$70,0)+IF(AB63=$B$47,$B$48,0)</f>
        <v>0</v>
      </c>
      <c r="AG63" s="36">
        <f>IF(AND(AC63&gt;=4,AC63&lt;=6),$E$74,0)+IF(AND(AC63&gt;=7,AC63&lt;=12),$E$75,0)+IF(AND(AC63&gt;=13,AC63&lt;=15),$E$76,0)+IF(AND(AC63&gt;=16,AC63&lt;=18),$E$77,0)+IF(AND(AC63&gt;=19,AC63&lt;=22),$E$78,0)+IF(AND(AC63&gt;=23,AC63&lt;=24),$E$79,0)+IF(AC63=$B$47,$B$48,0)</f>
        <v>0</v>
      </c>
      <c r="AH63" s="36">
        <f>IF(AND(AD63&gt;=4,AD63&lt;=6),$E$83,0)+IF(AND(AD63&gt;=7,AD63&lt;=12),$E$84,0)+IF(AND(AD63&gt;=13,AD63&lt;=15),$E$85,0)+IF(AND(AD63&gt;=16,AD63&lt;=18),$E$86,0)+IF(AND(AD63&gt;=19,AD63&lt;=22),$E$87,0)+IF(AND(AD63&gt;=23,AD63&lt;=24),$E$88,0)+IF(AD63=$B$47,$B$48,0)</f>
        <v>0</v>
      </c>
      <c r="AI63" s="4"/>
    </row>
    <row r="64" spans="1:35" ht="16" customHeight="1">
      <c r="A64" s="32" t="s">
        <v>67</v>
      </c>
      <c r="B64" s="26" t="s">
        <v>82</v>
      </c>
      <c r="C64" s="26" t="s">
        <v>83</v>
      </c>
      <c r="D64" s="32" t="s">
        <v>99</v>
      </c>
      <c r="E64" s="32" t="s">
        <v>98</v>
      </c>
      <c r="N64" s="4">
        <f t="shared" si="7"/>
        <v>61</v>
      </c>
      <c r="O64" s="8">
        <f t="shared" si="18"/>
        <v>93</v>
      </c>
      <c r="P64" s="8">
        <f t="shared" ca="1" si="8"/>
        <v>2716506.72</v>
      </c>
      <c r="Q64" s="8">
        <f t="shared" si="19"/>
        <v>-1800840</v>
      </c>
      <c r="R64" s="8">
        <f t="shared" si="9"/>
        <v>0</v>
      </c>
      <c r="S64" s="8">
        <f t="shared" ca="1" si="20"/>
        <v>915666.7200000002</v>
      </c>
      <c r="T64" s="38">
        <f t="shared" ca="1" si="14"/>
        <v>19087174.880000006</v>
      </c>
      <c r="U64" s="8">
        <f t="shared" ca="1" si="21"/>
        <v>109994431.40514106</v>
      </c>
      <c r="V64" s="8">
        <f t="shared" si="27"/>
        <v>88259472.354505867</v>
      </c>
      <c r="W64" s="8">
        <f t="shared" si="17"/>
        <v>90907256.525141045</v>
      </c>
      <c r="X64" s="8">
        <f t="shared" si="22"/>
        <v>0</v>
      </c>
      <c r="Y64" s="8">
        <f t="shared" si="23"/>
        <v>2647784.1706351759</v>
      </c>
      <c r="Z64" s="8">
        <f t="shared" si="28"/>
        <v>17820000</v>
      </c>
      <c r="AA64" s="7">
        <f t="shared" si="12"/>
        <v>63</v>
      </c>
      <c r="AB64" s="7">
        <f t="shared" si="13"/>
        <v>59</v>
      </c>
      <c r="AC64" s="4" t="str">
        <f t="shared" si="15"/>
        <v>-</v>
      </c>
      <c r="AD64" s="4" t="str">
        <f t="shared" si="16"/>
        <v>-</v>
      </c>
      <c r="AE64" s="36">
        <f>IF(AND(AA64&gt;=4,AA64&lt;=6),$E$56,0)+IF(AND(AA64&gt;=7,AA64&lt;=12),$E$57,0)+IF(AND(AA64&gt;=13,AA64&lt;=15),$E$58,0)+IF(AND(AA64&gt;=16,AA64&lt;=18),$E$59,0)+IF(AND(AA64&gt;=19,AA64&lt;=22),$E$60,0)+IF(AND(AA64&gt;=23,AA64&lt;=24),$E$61,0)+IF(AA64=$B$47,$B$48,0)</f>
        <v>0</v>
      </c>
      <c r="AF64" s="36">
        <f>IF(AND(AB64&gt;=4,AB64&lt;=6),$E$65,0)+IF(AND(AB64&gt;=7,AB64&lt;=12),$E$66,0)+IF(AND(AB64&gt;=13,AB64&lt;=15),$E$67,0)+IF(AND(AB64&gt;=16,AB64&lt;=18),$E$68,0)+IF(AND(AB64&gt;=19,AB64&lt;=22),$E$69,0)+IF(AND(AB64&gt;=23,AB64&lt;=24),$E$70,0)+IF(AB64=$B$47,$B$48,0)</f>
        <v>0</v>
      </c>
      <c r="AG64" s="36">
        <f>IF(AND(AC64&gt;=4,AC64&lt;=6),$E$74,0)+IF(AND(AC64&gt;=7,AC64&lt;=12),$E$75,0)+IF(AND(AC64&gt;=13,AC64&lt;=15),$E$76,0)+IF(AND(AC64&gt;=16,AC64&lt;=18),$E$77,0)+IF(AND(AC64&gt;=19,AC64&lt;=22),$E$78,0)+IF(AND(AC64&gt;=23,AC64&lt;=24),$E$79,0)+IF(AC64=$B$47,$B$48,0)</f>
        <v>0</v>
      </c>
      <c r="AH64" s="36">
        <f>IF(AND(AD64&gt;=4,AD64&lt;=6),$E$83,0)+IF(AND(AD64&gt;=7,AD64&lt;=12),$E$84,0)+IF(AND(AD64&gt;=13,AD64&lt;=15),$E$85,0)+IF(AND(AD64&gt;=16,AD64&lt;=18),$E$86,0)+IF(AND(AD64&gt;=19,AD64&lt;=22),$E$87,0)+IF(AND(AD64&gt;=23,AD64&lt;=24),$E$88,0)+IF(AD64=$B$47,$B$48,0)</f>
        <v>0</v>
      </c>
      <c r="AI64" s="4"/>
    </row>
    <row r="65" spans="1:35" ht="16" customHeight="1">
      <c r="A65" s="64" t="s">
        <v>70</v>
      </c>
      <c r="B65" s="33" t="s">
        <v>76</v>
      </c>
      <c r="C65" s="29">
        <f>IF(B65=AK$4,AK$5,IF(B65=AL$4,AL$5,0))*10000</f>
        <v>1600000</v>
      </c>
      <c r="D65" s="34">
        <v>100000</v>
      </c>
      <c r="E65" s="31">
        <f>C65/3+D65</f>
        <v>633333.33333333337</v>
      </c>
      <c r="N65" s="4">
        <f t="shared" si="7"/>
        <v>62</v>
      </c>
      <c r="O65" s="8">
        <f t="shared" si="18"/>
        <v>94</v>
      </c>
      <c r="P65" s="8">
        <f t="shared" ca="1" si="8"/>
        <v>2716506.72</v>
      </c>
      <c r="Q65" s="8">
        <f t="shared" si="19"/>
        <v>-1800840</v>
      </c>
      <c r="R65" s="8">
        <f t="shared" si="9"/>
        <v>0</v>
      </c>
      <c r="S65" s="8">
        <f t="shared" ca="1" si="20"/>
        <v>915666.7200000002</v>
      </c>
      <c r="T65" s="38">
        <f t="shared" ca="1" si="14"/>
        <v>20002841.600000005</v>
      </c>
      <c r="U65" s="8">
        <f t="shared" ca="1" si="21"/>
        <v>113637315.82089528</v>
      </c>
      <c r="V65" s="8">
        <f t="shared" si="27"/>
        <v>90907256.525141045</v>
      </c>
      <c r="W65" s="8">
        <f t="shared" ref="W65:W81" si="29">V65+X65+Y65</f>
        <v>93634474.220895275</v>
      </c>
      <c r="X65" s="8">
        <f t="shared" si="22"/>
        <v>0</v>
      </c>
      <c r="Y65" s="8">
        <f t="shared" si="23"/>
        <v>2727217.6957542314</v>
      </c>
      <c r="Z65" s="8">
        <f t="shared" si="28"/>
        <v>17820000</v>
      </c>
      <c r="AA65" s="7">
        <f t="shared" si="12"/>
        <v>64</v>
      </c>
      <c r="AB65" s="7">
        <f t="shared" si="13"/>
        <v>60</v>
      </c>
      <c r="AC65" s="4" t="str">
        <f t="shared" si="15"/>
        <v>-</v>
      </c>
      <c r="AD65" s="4" t="str">
        <f t="shared" si="16"/>
        <v>-</v>
      </c>
      <c r="AE65" s="36">
        <f>IF(AND(AA65&gt;=4,AA65&lt;=6),$E$56,0)+IF(AND(AA65&gt;=7,AA65&lt;=12),$E$57,0)+IF(AND(AA65&gt;=13,AA65&lt;=15),$E$58,0)+IF(AND(AA65&gt;=16,AA65&lt;=18),$E$59,0)+IF(AND(AA65&gt;=19,AA65&lt;=22),$E$60,0)+IF(AND(AA65&gt;=23,AA65&lt;=24),$E$61,0)+IF(AA65=$B$47,$B$48,0)</f>
        <v>0</v>
      </c>
      <c r="AF65" s="36">
        <f>IF(AND(AB65&gt;=4,AB65&lt;=6),$E$65,0)+IF(AND(AB65&gt;=7,AB65&lt;=12),$E$66,0)+IF(AND(AB65&gt;=13,AB65&lt;=15),$E$67,0)+IF(AND(AB65&gt;=16,AB65&lt;=18),$E$68,0)+IF(AND(AB65&gt;=19,AB65&lt;=22),$E$69,0)+IF(AND(AB65&gt;=23,AB65&lt;=24),$E$70,0)+IF(AB65=$B$47,$B$48,0)</f>
        <v>0</v>
      </c>
      <c r="AG65" s="36">
        <f>IF(AND(AC65&gt;=4,AC65&lt;=6),$E$74,0)+IF(AND(AC65&gt;=7,AC65&lt;=12),$E$75,0)+IF(AND(AC65&gt;=13,AC65&lt;=15),$E$76,0)+IF(AND(AC65&gt;=16,AC65&lt;=18),$E$77,0)+IF(AND(AC65&gt;=19,AC65&lt;=22),$E$78,0)+IF(AND(AC65&gt;=23,AC65&lt;=24),$E$79,0)+IF(AC65=$B$47,$B$48,0)</f>
        <v>0</v>
      </c>
      <c r="AH65" s="36">
        <f>IF(AND(AD65&gt;=4,AD65&lt;=6),$E$83,0)+IF(AND(AD65&gt;=7,AD65&lt;=12),$E$84,0)+IF(AND(AD65&gt;=13,AD65&lt;=15),$E$85,0)+IF(AND(AD65&gt;=16,AD65&lt;=18),$E$86,0)+IF(AND(AD65&gt;=19,AD65&lt;=22),$E$87,0)+IF(AND(AD65&gt;=23,AD65&lt;=24),$E$88,0)+IF(AD65=$B$47,$B$48,0)</f>
        <v>0</v>
      </c>
      <c r="AI65" s="4"/>
    </row>
    <row r="66" spans="1:35" ht="16" customHeight="1">
      <c r="A66" s="64" t="s">
        <v>71</v>
      </c>
      <c r="B66" s="33" t="s">
        <v>77</v>
      </c>
      <c r="C66" s="29">
        <f>IF(B66=AK$4,AK$6,IF(B66=AL$4,AL$6,0))*10000</f>
        <v>1900000</v>
      </c>
      <c r="D66" s="34">
        <f>2000000/6</f>
        <v>333333.33333333331</v>
      </c>
      <c r="E66">
        <f>C66/6+D66</f>
        <v>650000</v>
      </c>
      <c r="N66" s="4">
        <f t="shared" si="7"/>
        <v>63</v>
      </c>
      <c r="O66" s="8">
        <f t="shared" si="18"/>
        <v>95</v>
      </c>
      <c r="P66" s="8">
        <f t="shared" ca="1" si="8"/>
        <v>2716506.72</v>
      </c>
      <c r="Q66" s="8">
        <f t="shared" si="19"/>
        <v>-1800840</v>
      </c>
      <c r="R66" s="8">
        <f t="shared" si="9"/>
        <v>0</v>
      </c>
      <c r="S66" s="8">
        <f t="shared" ca="1" si="20"/>
        <v>915666.7200000002</v>
      </c>
      <c r="T66" s="38">
        <f t="shared" ca="1" si="14"/>
        <v>20918508.320000004</v>
      </c>
      <c r="U66" s="8">
        <f t="shared" ca="1" si="21"/>
        <v>117362016.76752214</v>
      </c>
      <c r="V66" s="8">
        <f t="shared" si="27"/>
        <v>93634474.220895275</v>
      </c>
      <c r="W66" s="8">
        <f t="shared" si="29"/>
        <v>96443508.447522134</v>
      </c>
      <c r="X66" s="8">
        <f t="shared" si="22"/>
        <v>0</v>
      </c>
      <c r="Y66" s="8">
        <f t="shared" si="23"/>
        <v>2809034.2266268581</v>
      </c>
      <c r="Z66" s="8">
        <f t="shared" si="28"/>
        <v>17820000</v>
      </c>
      <c r="AA66" s="7">
        <f t="shared" si="12"/>
        <v>65</v>
      </c>
      <c r="AB66" s="7">
        <f t="shared" si="13"/>
        <v>61</v>
      </c>
      <c r="AC66" s="4" t="str">
        <f t="shared" si="15"/>
        <v>-</v>
      </c>
      <c r="AD66" s="4" t="str">
        <f t="shared" si="16"/>
        <v>-</v>
      </c>
      <c r="AE66" s="36">
        <f>IF(AND(AA66&gt;=4,AA66&lt;=6),$E$56,0)+IF(AND(AA66&gt;=7,AA66&lt;=12),$E$57,0)+IF(AND(AA66&gt;=13,AA66&lt;=15),$E$58,0)+IF(AND(AA66&gt;=16,AA66&lt;=18),$E$59,0)+IF(AND(AA66&gt;=19,AA66&lt;=22),$E$60,0)+IF(AND(AA66&gt;=23,AA66&lt;=24),$E$61,0)+IF(AA66=$B$47,$B$48,0)</f>
        <v>0</v>
      </c>
      <c r="AF66" s="36">
        <f>IF(AND(AB66&gt;=4,AB66&lt;=6),$E$65,0)+IF(AND(AB66&gt;=7,AB66&lt;=12),$E$66,0)+IF(AND(AB66&gt;=13,AB66&lt;=15),$E$67,0)+IF(AND(AB66&gt;=16,AB66&lt;=18),$E$68,0)+IF(AND(AB66&gt;=19,AB66&lt;=22),$E$69,0)+IF(AND(AB66&gt;=23,AB66&lt;=24),$E$70,0)+IF(AB66=$B$47,$B$48,0)</f>
        <v>0</v>
      </c>
      <c r="AG66" s="36">
        <f>IF(AND(AC66&gt;=4,AC66&lt;=6),$E$74,0)+IF(AND(AC66&gt;=7,AC66&lt;=12),$E$75,0)+IF(AND(AC66&gt;=13,AC66&lt;=15),$E$76,0)+IF(AND(AC66&gt;=16,AC66&lt;=18),$E$77,0)+IF(AND(AC66&gt;=19,AC66&lt;=22),$E$78,0)+IF(AND(AC66&gt;=23,AC66&lt;=24),$E$79,0)+IF(AC66=$B$47,$B$48,0)</f>
        <v>0</v>
      </c>
      <c r="AH66" s="36">
        <f>IF(AND(AD66&gt;=4,AD66&lt;=6),$E$83,0)+IF(AND(AD66&gt;=7,AD66&lt;=12),$E$84,0)+IF(AND(AD66&gt;=13,AD66&lt;=15),$E$85,0)+IF(AND(AD66&gt;=16,AD66&lt;=18),$E$86,0)+IF(AND(AD66&gt;=19,AD66&lt;=22),$E$87,0)+IF(AND(AD66&gt;=23,AD66&lt;=24),$E$88,0)+IF(AD66=$B$47,$B$48,0)</f>
        <v>0</v>
      </c>
      <c r="AI66" s="4"/>
    </row>
    <row r="67" spans="1:35" ht="16" customHeight="1">
      <c r="A67" s="64" t="s">
        <v>72</v>
      </c>
      <c r="B67" s="33" t="s">
        <v>77</v>
      </c>
      <c r="C67" s="29">
        <f>IF(B67=AK$4,AK$8,IF(B67=AL$4,AL$8,0))*10000</f>
        <v>1400000</v>
      </c>
      <c r="D67" s="37">
        <f>1500000/3</f>
        <v>500000</v>
      </c>
      <c r="E67" s="29">
        <f>C67/3+D67</f>
        <v>966666.66666666674</v>
      </c>
      <c r="F67" s="21"/>
      <c r="G67" s="21"/>
      <c r="H67" s="21"/>
      <c r="I67" s="21"/>
      <c r="J67" s="21"/>
      <c r="K67" s="21"/>
      <c r="L67" s="21"/>
      <c r="M67" s="21"/>
      <c r="N67" s="4">
        <f t="shared" si="7"/>
        <v>64</v>
      </c>
      <c r="O67" s="8">
        <f t="shared" si="18"/>
        <v>96</v>
      </c>
      <c r="P67" s="8">
        <f t="shared" ca="1" si="8"/>
        <v>2716506.72</v>
      </c>
      <c r="Q67" s="8">
        <f t="shared" si="19"/>
        <v>-1800840</v>
      </c>
      <c r="R67" s="8">
        <f t="shared" si="9"/>
        <v>0</v>
      </c>
      <c r="S67" s="8">
        <f t="shared" ca="1" si="20"/>
        <v>915666.7200000002</v>
      </c>
      <c r="T67" s="38">
        <f t="shared" ca="1" si="14"/>
        <v>21834175.040000003</v>
      </c>
      <c r="U67" s="8">
        <f t="shared" ca="1" si="21"/>
        <v>121170988.7409478</v>
      </c>
      <c r="V67" s="8">
        <f t="shared" si="27"/>
        <v>96443508.447522134</v>
      </c>
      <c r="W67" s="8">
        <f t="shared" si="29"/>
        <v>99336813.700947791</v>
      </c>
      <c r="X67" s="8">
        <f t="shared" si="22"/>
        <v>0</v>
      </c>
      <c r="Y67" s="8">
        <f t="shared" si="23"/>
        <v>2893305.2534256638</v>
      </c>
      <c r="Z67" s="8">
        <f t="shared" si="28"/>
        <v>17820000</v>
      </c>
      <c r="AA67" s="7">
        <f t="shared" si="12"/>
        <v>66</v>
      </c>
      <c r="AB67" s="7">
        <f t="shared" si="13"/>
        <v>62</v>
      </c>
      <c r="AC67" s="4" t="str">
        <f t="shared" si="15"/>
        <v>-</v>
      </c>
      <c r="AD67" s="4" t="str">
        <f t="shared" si="16"/>
        <v>-</v>
      </c>
      <c r="AE67" s="36">
        <f>IF(AND(AA67&gt;=4,AA67&lt;=6),$E$56,0)+IF(AND(AA67&gt;=7,AA67&lt;=12),$E$57,0)+IF(AND(AA67&gt;=13,AA67&lt;=15),$E$58,0)+IF(AND(AA67&gt;=16,AA67&lt;=18),$E$59,0)+IF(AND(AA67&gt;=19,AA67&lt;=22),$E$60,0)+IF(AND(AA67&gt;=23,AA67&lt;=24),$E$61,0)+IF(AA67=$B$47,$B$48,0)</f>
        <v>0</v>
      </c>
      <c r="AF67" s="36">
        <f>IF(AND(AB67&gt;=4,AB67&lt;=6),$E$65,0)+IF(AND(AB67&gt;=7,AB67&lt;=12),$E$66,0)+IF(AND(AB67&gt;=13,AB67&lt;=15),$E$67,0)+IF(AND(AB67&gt;=16,AB67&lt;=18),$E$68,0)+IF(AND(AB67&gt;=19,AB67&lt;=22),$E$69,0)+IF(AND(AB67&gt;=23,AB67&lt;=24),$E$70,0)+IF(AB67=$B$47,$B$48,0)</f>
        <v>0</v>
      </c>
      <c r="AG67" s="36">
        <f>IF(AND(AC67&gt;=4,AC67&lt;=6),$E$74,0)+IF(AND(AC67&gt;=7,AC67&lt;=12),$E$75,0)+IF(AND(AC67&gt;=13,AC67&lt;=15),$E$76,0)+IF(AND(AC67&gt;=16,AC67&lt;=18),$E$77,0)+IF(AND(AC67&gt;=19,AC67&lt;=22),$E$78,0)+IF(AND(AC67&gt;=23,AC67&lt;=24),$E$79,0)+IF(AC67=$B$47,$B$48,0)</f>
        <v>0</v>
      </c>
      <c r="AH67" s="36">
        <f>IF(AND(AD67&gt;=4,AD67&lt;=6),$E$83,0)+IF(AND(AD67&gt;=7,AD67&lt;=12),$E$84,0)+IF(AND(AD67&gt;=13,AD67&lt;=15),$E$85,0)+IF(AND(AD67&gt;=16,AD67&lt;=18),$E$86,0)+IF(AND(AD67&gt;=19,AD67&lt;=22),$E$87,0)+IF(AND(AD67&gt;=23,AD67&lt;=24),$E$88,0)+IF(AD67=$B$47,$B$48,0)</f>
        <v>0</v>
      </c>
      <c r="AI67" s="4"/>
    </row>
    <row r="68" spans="1:35" ht="16" customHeight="1">
      <c r="A68" s="64" t="s">
        <v>73</v>
      </c>
      <c r="B68" s="33" t="s">
        <v>76</v>
      </c>
      <c r="C68" s="29">
        <f>IF(B68=AK$4,AK$7,IF(B68=AL$4,AL$7,0))*10000</f>
        <v>4200000</v>
      </c>
      <c r="D68" s="37">
        <f>1500000/3</f>
        <v>500000</v>
      </c>
      <c r="E68" s="29">
        <f>C68/3+D68</f>
        <v>1900000</v>
      </c>
      <c r="F68" s="31"/>
      <c r="G68" s="31"/>
      <c r="H68" s="31"/>
      <c r="I68" s="31"/>
      <c r="J68" s="31"/>
      <c r="K68" s="31"/>
      <c r="L68" s="31"/>
      <c r="M68" s="31"/>
      <c r="N68" s="4">
        <f t="shared" si="7"/>
        <v>65</v>
      </c>
      <c r="O68" s="8">
        <f t="shared" ref="O68:O81" si="30">B$8+N68</f>
        <v>97</v>
      </c>
      <c r="P68" s="8">
        <f t="shared" ca="1" si="8"/>
        <v>2716506.72</v>
      </c>
      <c r="Q68" s="8">
        <f t="shared" ref="Q68:Q81" si="31">-IF(O68&lt;=B$10,C$32,B$32)*12+IF(O68&gt;B$25,B$24*12,0)</f>
        <v>-1800840</v>
      </c>
      <c r="R68" s="8">
        <f t="shared" si="9"/>
        <v>0</v>
      </c>
      <c r="S68" s="8">
        <f t="shared" ref="S68:S81" ca="1" si="32">SUM(P68:R68)</f>
        <v>915666.7200000002</v>
      </c>
      <c r="T68" s="38">
        <f t="shared" ca="1" si="14"/>
        <v>22749841.760000002</v>
      </c>
      <c r="U68" s="8">
        <f t="shared" ref="U68:U81" ca="1" si="33">T68+W68</f>
        <v>125066759.87197623</v>
      </c>
      <c r="V68" s="8">
        <f t="shared" si="27"/>
        <v>99336813.700947791</v>
      </c>
      <c r="W68" s="8">
        <f t="shared" si="29"/>
        <v>102316918.11197622</v>
      </c>
      <c r="X68" s="8">
        <f t="shared" ref="X68:X81" si="34">IF(O68&lt;=B$10,IF(O68&gt;=B$9,B$6*12,0),0)</f>
        <v>0</v>
      </c>
      <c r="Y68" s="8">
        <f t="shared" ref="Y68:Y81" si="35">IF(V68&lt;0,0,((X68/2)+V68)*IF(O68&lt;B$10,B$7,B$38))</f>
        <v>2980104.4110284336</v>
      </c>
      <c r="Z68" s="8">
        <f t="shared" si="28"/>
        <v>17820000</v>
      </c>
      <c r="AA68" s="7">
        <f t="shared" si="12"/>
        <v>67</v>
      </c>
      <c r="AB68" s="7">
        <f t="shared" si="13"/>
        <v>63</v>
      </c>
      <c r="AC68" s="4" t="str">
        <f t="shared" si="15"/>
        <v>-</v>
      </c>
      <c r="AD68" s="4" t="str">
        <f t="shared" si="16"/>
        <v>-</v>
      </c>
      <c r="AE68" s="36">
        <f>IF(AND(AA68&gt;=4,AA68&lt;=6),$E$56,0)+IF(AND(AA68&gt;=7,AA68&lt;=12),$E$57,0)+IF(AND(AA68&gt;=13,AA68&lt;=15),$E$58,0)+IF(AND(AA68&gt;=16,AA68&lt;=18),$E$59,0)+IF(AND(AA68&gt;=19,AA68&lt;=22),$E$60,0)+IF(AND(AA68&gt;=23,AA68&lt;=24),$E$61,0)+IF(AA68=$B$47,$B$48,0)</f>
        <v>0</v>
      </c>
      <c r="AF68" s="36">
        <f>IF(AND(AB68&gt;=4,AB68&lt;=6),$E$65,0)+IF(AND(AB68&gt;=7,AB68&lt;=12),$E$66,0)+IF(AND(AB68&gt;=13,AB68&lt;=15),$E$67,0)+IF(AND(AB68&gt;=16,AB68&lt;=18),$E$68,0)+IF(AND(AB68&gt;=19,AB68&lt;=22),$E$69,0)+IF(AND(AB68&gt;=23,AB68&lt;=24),$E$70,0)+IF(AB68=$B$47,$B$48,0)</f>
        <v>0</v>
      </c>
      <c r="AG68" s="36">
        <f>IF(AND(AC68&gt;=4,AC68&lt;=6),$E$74,0)+IF(AND(AC68&gt;=7,AC68&lt;=12),$E$75,0)+IF(AND(AC68&gt;=13,AC68&lt;=15),$E$76,0)+IF(AND(AC68&gt;=16,AC68&lt;=18),$E$77,0)+IF(AND(AC68&gt;=19,AC68&lt;=22),$E$78,0)+IF(AND(AC68&gt;=23,AC68&lt;=24),$E$79,0)+IF(AC68=$B$47,$B$48,0)</f>
        <v>0</v>
      </c>
      <c r="AH68" s="36">
        <f>IF(AND(AD68&gt;=4,AD68&lt;=6),$E$83,0)+IF(AND(AD68&gt;=7,AD68&lt;=12),$E$84,0)+IF(AND(AD68&gt;=13,AD68&lt;=15),$E$85,0)+IF(AND(AD68&gt;=16,AD68&lt;=18),$E$86,0)+IF(AND(AD68&gt;=19,AD68&lt;=22),$E$87,0)+IF(AND(AD68&gt;=23,AD68&lt;=24),$E$88,0)+IF(AD68=$B$47,$B$48,0)</f>
        <v>0</v>
      </c>
      <c r="AI68" s="4"/>
    </row>
    <row r="69" spans="1:35" ht="16" customHeight="1">
      <c r="A69" s="64" t="s">
        <v>74</v>
      </c>
      <c r="B69" s="33" t="s">
        <v>78</v>
      </c>
      <c r="C69" s="29">
        <f>IF(B69=AK$9,AK$10,IF(B69=AL$9,AL$10,IF(B69=AM$9,AM$10,0)))*10000</f>
        <v>3900000</v>
      </c>
      <c r="E69">
        <f>C69/4</f>
        <v>975000</v>
      </c>
      <c r="N69" s="4">
        <f t="shared" ref="N69:N83" si="36">N68+1</f>
        <v>66</v>
      </c>
      <c r="O69" s="8">
        <f t="shared" si="30"/>
        <v>98</v>
      </c>
      <c r="P69" s="8">
        <f t="shared" ref="P69:P81" ca="1" si="37">IF(O69&lt;B$10,B$16,0)*80%+IF(O69&gt;=B$11,B$19*12,0)*90%</f>
        <v>2716506.72</v>
      </c>
      <c r="Q69" s="8">
        <f t="shared" si="31"/>
        <v>-1800840</v>
      </c>
      <c r="R69" s="8">
        <f t="shared" ref="R69:R83" si="38">-(SUM(AE69:AH69)+IF(O69=B106,B107,0))-IF(O69=B$50,B$49,0)-IF(O69=B$52,B$51,0)</f>
        <v>0</v>
      </c>
      <c r="S69" s="8">
        <f t="shared" ca="1" si="32"/>
        <v>915666.7200000002</v>
      </c>
      <c r="T69" s="38">
        <f t="shared" ca="1" si="14"/>
        <v>23665508.48</v>
      </c>
      <c r="U69" s="8">
        <f t="shared" ca="1" si="33"/>
        <v>129051934.13533551</v>
      </c>
      <c r="V69" s="8">
        <f t="shared" ref="V69:V81" si="39">V68+X68+Y68</f>
        <v>102316918.11197622</v>
      </c>
      <c r="W69" s="8">
        <f t="shared" si="29"/>
        <v>105386425.6553355</v>
      </c>
      <c r="X69" s="8">
        <f t="shared" si="34"/>
        <v>0</v>
      </c>
      <c r="Y69" s="8">
        <f t="shared" si="35"/>
        <v>3069507.5433592866</v>
      </c>
      <c r="Z69" s="8">
        <f t="shared" ref="Z69:Z81" si="40">Z68+X69</f>
        <v>17820000</v>
      </c>
      <c r="AA69" s="7">
        <f t="shared" ref="AA69:AA83" si="41">IF(AA68="-","-",AA68+1)</f>
        <v>68</v>
      </c>
      <c r="AB69" s="7">
        <f t="shared" ref="AB69:AB83" si="42">IF(AB68="-","-",AB68+1)</f>
        <v>64</v>
      </c>
      <c r="AC69" s="4" t="str">
        <f t="shared" si="15"/>
        <v>-</v>
      </c>
      <c r="AD69" s="4" t="str">
        <f t="shared" si="16"/>
        <v>-</v>
      </c>
      <c r="AE69" s="36">
        <f>IF(AND(AA69&gt;=4,AA69&lt;=6),$E$56,0)+IF(AND(AA69&gt;=7,AA69&lt;=12),$E$57,0)+IF(AND(AA69&gt;=13,AA69&lt;=15),$E$58,0)+IF(AND(AA69&gt;=16,AA69&lt;=18),$E$59,0)+IF(AND(AA69&gt;=19,AA69&lt;=22),$E$60,0)+IF(AND(AA69&gt;=23,AA69&lt;=24),$E$61,0)+IF(AA69=$B$47,$B$48,0)</f>
        <v>0</v>
      </c>
      <c r="AF69" s="36">
        <f>IF(AND(AB69&gt;=4,AB69&lt;=6),$E$65,0)+IF(AND(AB69&gt;=7,AB69&lt;=12),$E$66,0)+IF(AND(AB69&gt;=13,AB69&lt;=15),$E$67,0)+IF(AND(AB69&gt;=16,AB69&lt;=18),$E$68,0)+IF(AND(AB69&gt;=19,AB69&lt;=22),$E$69,0)+IF(AND(AB69&gt;=23,AB69&lt;=24),$E$70,0)+IF(AB69=$B$47,$B$48,0)</f>
        <v>0</v>
      </c>
      <c r="AG69" s="36">
        <f>IF(AND(AC69&gt;=4,AC69&lt;=6),$E$74,0)+IF(AND(AC69&gt;=7,AC69&lt;=12),$E$75,0)+IF(AND(AC69&gt;=13,AC69&lt;=15),$E$76,0)+IF(AND(AC69&gt;=16,AC69&lt;=18),$E$77,0)+IF(AND(AC69&gt;=19,AC69&lt;=22),$E$78,0)+IF(AND(AC69&gt;=23,AC69&lt;=24),$E$79,0)+IF(AC69=$B$47,$B$48,0)</f>
        <v>0</v>
      </c>
      <c r="AH69" s="36">
        <f>IF(AND(AD69&gt;=4,AD69&lt;=6),$E$83,0)+IF(AND(AD69&gt;=7,AD69&lt;=12),$E$84,0)+IF(AND(AD69&gt;=13,AD69&lt;=15),$E$85,0)+IF(AND(AD69&gt;=16,AD69&lt;=18),$E$86,0)+IF(AND(AD69&gt;=19,AD69&lt;=22),$E$87,0)+IF(AND(AD69&gt;=23,AD69&lt;=24),$E$88,0)+IF(AD69=$B$47,$B$48,0)</f>
        <v>0</v>
      </c>
      <c r="AI69" s="4"/>
    </row>
    <row r="70" spans="1:35" ht="16" customHeight="1">
      <c r="A70" s="64" t="s">
        <v>75</v>
      </c>
      <c r="B70" s="33"/>
      <c r="C70" s="29">
        <f>IF(B70=AK$9,AK$11,IF(B70=AL$9,AL$11,IF(B70=AM$9,AM$11,0)))*10000</f>
        <v>0</v>
      </c>
      <c r="E70">
        <f>C70/2</f>
        <v>0</v>
      </c>
      <c r="F70" s="29"/>
      <c r="G70" s="29"/>
      <c r="H70" s="29"/>
      <c r="I70" s="29"/>
      <c r="J70" s="29"/>
      <c r="K70" s="29"/>
      <c r="L70" s="29"/>
      <c r="M70" s="29"/>
      <c r="N70" s="4">
        <f t="shared" si="36"/>
        <v>67</v>
      </c>
      <c r="O70" s="8">
        <f t="shared" si="30"/>
        <v>99</v>
      </c>
      <c r="P70" s="8">
        <f t="shared" ca="1" si="37"/>
        <v>2716506.72</v>
      </c>
      <c r="Q70" s="8">
        <f t="shared" si="31"/>
        <v>-1800840</v>
      </c>
      <c r="R70" s="8">
        <f t="shared" si="38"/>
        <v>0</v>
      </c>
      <c r="S70" s="8">
        <f t="shared" ca="1" si="32"/>
        <v>915666.7200000002</v>
      </c>
      <c r="T70" s="38">
        <f t="shared" ref="T70:T81" ca="1" si="43">T69+S70</f>
        <v>24581175.199999999</v>
      </c>
      <c r="U70" s="8">
        <f t="shared" ca="1" si="33"/>
        <v>133129193.62499557</v>
      </c>
      <c r="V70" s="8">
        <f t="shared" si="39"/>
        <v>105386425.6553355</v>
      </c>
      <c r="W70" s="8">
        <f t="shared" si="29"/>
        <v>108548018.42499557</v>
      </c>
      <c r="X70" s="8">
        <f t="shared" si="34"/>
        <v>0</v>
      </c>
      <c r="Y70" s="8">
        <f t="shared" si="35"/>
        <v>3161592.769660065</v>
      </c>
      <c r="Z70" s="8">
        <f t="shared" si="40"/>
        <v>17820000</v>
      </c>
      <c r="AA70" s="7">
        <f t="shared" si="41"/>
        <v>69</v>
      </c>
      <c r="AB70" s="7">
        <f t="shared" si="42"/>
        <v>65</v>
      </c>
      <c r="AC70" s="4" t="str">
        <f t="shared" ref="AC70:AC83" si="44">IF(AC69="-","-",AC69+1)</f>
        <v>-</v>
      </c>
      <c r="AD70" s="4" t="str">
        <f t="shared" ref="AD70:AD83" si="45">IF(AD69="-","-",AD69+1)</f>
        <v>-</v>
      </c>
      <c r="AE70" s="36">
        <f>IF(AND(AA70&gt;=4,AA70&lt;=6),$E$56,0)+IF(AND(AA70&gt;=7,AA70&lt;=12),$E$57,0)+IF(AND(AA70&gt;=13,AA70&lt;=15),$E$58,0)+IF(AND(AA70&gt;=16,AA70&lt;=18),$E$59,0)+IF(AND(AA70&gt;=19,AA70&lt;=22),$E$60,0)+IF(AND(AA70&gt;=23,AA70&lt;=24),$E$61,0)+IF(AA70=$B$47,$B$48,0)</f>
        <v>0</v>
      </c>
      <c r="AF70" s="36">
        <f>IF(AND(AB70&gt;=4,AB70&lt;=6),$E$65,0)+IF(AND(AB70&gt;=7,AB70&lt;=12),$E$66,0)+IF(AND(AB70&gt;=13,AB70&lt;=15),$E$67,0)+IF(AND(AB70&gt;=16,AB70&lt;=18),$E$68,0)+IF(AND(AB70&gt;=19,AB70&lt;=22),$E$69,0)+IF(AND(AB70&gt;=23,AB70&lt;=24),$E$70,0)+IF(AB70=$B$47,$B$48,0)</f>
        <v>0</v>
      </c>
      <c r="AG70" s="36">
        <f>IF(AND(AC70&gt;=4,AC70&lt;=6),$E$74,0)+IF(AND(AC70&gt;=7,AC70&lt;=12),$E$75,0)+IF(AND(AC70&gt;=13,AC70&lt;=15),$E$76,0)+IF(AND(AC70&gt;=16,AC70&lt;=18),$E$77,0)+IF(AND(AC70&gt;=19,AC70&lt;=22),$E$78,0)+IF(AND(AC70&gt;=23,AC70&lt;=24),$E$79,0)+IF(AC70=$B$47,$B$48,0)</f>
        <v>0</v>
      </c>
      <c r="AH70" s="36">
        <f>IF(AND(AD70&gt;=4,AD70&lt;=6),$E$83,0)+IF(AND(AD70&gt;=7,AD70&lt;=12),$E$84,0)+IF(AND(AD70&gt;=13,AD70&lt;=15),$E$85,0)+IF(AND(AD70&gt;=16,AD70&lt;=18),$E$86,0)+IF(AND(AD70&gt;=19,AD70&lt;=22),$E$87,0)+IF(AND(AD70&gt;=23,AD70&lt;=24),$E$88,0)+IF(AD70=$B$47,$B$48,0)</f>
        <v>0</v>
      </c>
      <c r="AI70" s="4"/>
    </row>
    <row r="71" spans="1:35" ht="16" customHeight="1">
      <c r="A71" s="64" t="s">
        <v>85</v>
      </c>
      <c r="B71" s="30"/>
      <c r="C71" s="31">
        <f>SUM(C65:C70)</f>
        <v>13000000</v>
      </c>
      <c r="F71" s="29"/>
      <c r="G71" s="29"/>
      <c r="H71" s="29"/>
      <c r="I71" s="29"/>
      <c r="J71" s="29"/>
      <c r="K71" s="29"/>
      <c r="L71" s="29"/>
      <c r="M71" s="29"/>
      <c r="N71" s="4">
        <f t="shared" si="36"/>
        <v>68</v>
      </c>
      <c r="O71" s="8">
        <f t="shared" si="30"/>
        <v>100</v>
      </c>
      <c r="P71" s="8">
        <f t="shared" ca="1" si="37"/>
        <v>2716506.72</v>
      </c>
      <c r="Q71" s="8">
        <f t="shared" si="31"/>
        <v>-1800840</v>
      </c>
      <c r="R71" s="8">
        <f t="shared" si="38"/>
        <v>0</v>
      </c>
      <c r="S71" s="8">
        <f t="shared" ca="1" si="32"/>
        <v>915666.7200000002</v>
      </c>
      <c r="T71" s="38">
        <f t="shared" ca="1" si="43"/>
        <v>25496841.919999998</v>
      </c>
      <c r="U71" s="8">
        <f t="shared" ca="1" si="33"/>
        <v>137301300.89774543</v>
      </c>
      <c r="V71" s="8">
        <f t="shared" si="39"/>
        <v>108548018.42499557</v>
      </c>
      <c r="W71" s="8">
        <f t="shared" si="29"/>
        <v>111804458.97774544</v>
      </c>
      <c r="X71" s="8">
        <f t="shared" si="34"/>
        <v>0</v>
      </c>
      <c r="Y71" s="8">
        <f t="shared" si="35"/>
        <v>3256440.5527498671</v>
      </c>
      <c r="Z71" s="8">
        <f t="shared" si="40"/>
        <v>17820000</v>
      </c>
      <c r="AA71" s="7">
        <f t="shared" si="41"/>
        <v>70</v>
      </c>
      <c r="AB71" s="7">
        <f t="shared" si="42"/>
        <v>66</v>
      </c>
      <c r="AC71" s="4" t="str">
        <f t="shared" si="44"/>
        <v>-</v>
      </c>
      <c r="AD71" s="4" t="str">
        <f t="shared" si="45"/>
        <v>-</v>
      </c>
      <c r="AE71" s="36">
        <f>IF(AND(AA71&gt;=4,AA71&lt;=6),$E$56,0)+IF(AND(AA71&gt;=7,AA71&lt;=12),$E$57,0)+IF(AND(AA71&gt;=13,AA71&lt;=15),$E$58,0)+IF(AND(AA71&gt;=16,AA71&lt;=18),$E$59,0)+IF(AND(AA71&gt;=19,AA71&lt;=22),$E$60,0)+IF(AND(AA71&gt;=23,AA71&lt;=24),$E$61,0)+IF(AA71=$B$47,$B$48,0)</f>
        <v>0</v>
      </c>
      <c r="AF71" s="36">
        <f>IF(AND(AB71&gt;=4,AB71&lt;=6),$E$65,0)+IF(AND(AB71&gt;=7,AB71&lt;=12),$E$66,0)+IF(AND(AB71&gt;=13,AB71&lt;=15),$E$67,0)+IF(AND(AB71&gt;=16,AB71&lt;=18),$E$68,0)+IF(AND(AB71&gt;=19,AB71&lt;=22),$E$69,0)+IF(AND(AB71&gt;=23,AB71&lt;=24),$E$70,0)+IF(AB71=$B$47,$B$48,0)</f>
        <v>0</v>
      </c>
      <c r="AG71" s="36">
        <f>IF(AND(AC71&gt;=4,AC71&lt;=6),$E$74,0)+IF(AND(AC71&gt;=7,AC71&lt;=12),$E$75,0)+IF(AND(AC71&gt;=13,AC71&lt;=15),$E$76,0)+IF(AND(AC71&gt;=16,AC71&lt;=18),$E$77,0)+IF(AND(AC71&gt;=19,AC71&lt;=22),$E$78,0)+IF(AND(AC71&gt;=23,AC71&lt;=24),$E$79,0)+IF(AC71=$B$47,$B$48,0)</f>
        <v>0</v>
      </c>
      <c r="AH71" s="36">
        <f>IF(AND(AD71&gt;=4,AD71&lt;=6),$E$83,0)+IF(AND(AD71&gt;=7,AD71&lt;=12),$E$84,0)+IF(AND(AD71&gt;=13,AD71&lt;=15),$E$85,0)+IF(AND(AD71&gt;=16,AD71&lt;=18),$E$86,0)+IF(AND(AD71&gt;=19,AD71&lt;=22),$E$87,0)+IF(AND(AD71&gt;=23,AD71&lt;=24),$E$88,0)+IF(AD71=$B$47,$B$48,0)</f>
        <v>0</v>
      </c>
      <c r="AI71" s="4"/>
    </row>
    <row r="72" spans="1:35" ht="16" customHeight="1">
      <c r="N72" s="4">
        <f t="shared" si="36"/>
        <v>69</v>
      </c>
      <c r="O72" s="8">
        <f t="shared" si="30"/>
        <v>101</v>
      </c>
      <c r="P72" s="8">
        <f t="shared" ca="1" si="37"/>
        <v>2716506.72</v>
      </c>
      <c r="Q72" s="8">
        <f t="shared" si="31"/>
        <v>-1800840</v>
      </c>
      <c r="R72" s="8">
        <f t="shared" si="38"/>
        <v>0</v>
      </c>
      <c r="S72" s="8">
        <f t="shared" ca="1" si="32"/>
        <v>915666.7200000002</v>
      </c>
      <c r="T72" s="38">
        <f t="shared" ca="1" si="43"/>
        <v>26412508.639999997</v>
      </c>
      <c r="U72" s="8">
        <f t="shared" ca="1" si="33"/>
        <v>141571101.38707781</v>
      </c>
      <c r="V72" s="8">
        <f t="shared" si="39"/>
        <v>111804458.97774544</v>
      </c>
      <c r="W72" s="8">
        <f t="shared" si="29"/>
        <v>115158592.74707781</v>
      </c>
      <c r="X72" s="8">
        <f t="shared" si="34"/>
        <v>0</v>
      </c>
      <c r="Y72" s="8">
        <f t="shared" si="35"/>
        <v>3354133.7693323633</v>
      </c>
      <c r="Z72" s="8">
        <f t="shared" si="40"/>
        <v>17820000</v>
      </c>
      <c r="AA72" s="7">
        <f t="shared" si="41"/>
        <v>71</v>
      </c>
      <c r="AB72" s="7">
        <f t="shared" si="42"/>
        <v>67</v>
      </c>
      <c r="AC72" s="4" t="str">
        <f t="shared" si="44"/>
        <v>-</v>
      </c>
      <c r="AD72" s="4" t="str">
        <f t="shared" si="45"/>
        <v>-</v>
      </c>
      <c r="AE72" s="36">
        <f>IF(AND(AA72&gt;=4,AA72&lt;=6),$E$56,0)+IF(AND(AA72&gt;=7,AA72&lt;=12),$E$57,0)+IF(AND(AA72&gt;=13,AA72&lt;=15),$E$58,0)+IF(AND(AA72&gt;=16,AA72&lt;=18),$E$59,0)+IF(AND(AA72&gt;=19,AA72&lt;=22),$E$60,0)+IF(AND(AA72&gt;=23,AA72&lt;=24),$E$61,0)+IF(AA72=$B$47,$B$48,0)</f>
        <v>0</v>
      </c>
      <c r="AF72" s="36">
        <f>IF(AND(AB72&gt;=4,AB72&lt;=6),$E$65,0)+IF(AND(AB72&gt;=7,AB72&lt;=12),$E$66,0)+IF(AND(AB72&gt;=13,AB72&lt;=15),$E$67,0)+IF(AND(AB72&gt;=16,AB72&lt;=18),$E$68,0)+IF(AND(AB72&gt;=19,AB72&lt;=22),$E$69,0)+IF(AND(AB72&gt;=23,AB72&lt;=24),$E$70,0)+IF(AB72=$B$47,$B$48,0)</f>
        <v>0</v>
      </c>
      <c r="AG72" s="36">
        <f>IF(AND(AC72&gt;=4,AC72&lt;=6),$E$74,0)+IF(AND(AC72&gt;=7,AC72&lt;=12),$E$75,0)+IF(AND(AC72&gt;=13,AC72&lt;=15),$E$76,0)+IF(AND(AC72&gt;=16,AC72&lt;=18),$E$77,0)+IF(AND(AC72&gt;=19,AC72&lt;=22),$E$78,0)+IF(AND(AC72&gt;=23,AC72&lt;=24),$E$79,0)+IF(AC72=$B$47,$B$48,0)</f>
        <v>0</v>
      </c>
      <c r="AH72" s="36">
        <f>IF(AND(AD72&gt;=4,AD72&lt;=6),$E$83,0)+IF(AND(AD72&gt;=7,AD72&lt;=12),$E$84,0)+IF(AND(AD72&gt;=13,AD72&lt;=15),$E$85,0)+IF(AND(AD72&gt;=16,AD72&lt;=18),$E$86,0)+IF(AND(AD72&gt;=19,AD72&lt;=22),$E$87,0)+IF(AND(AD72&gt;=23,AD72&lt;=24),$E$88,0)+IF(AD72=$B$47,$B$48,0)</f>
        <v>0</v>
      </c>
      <c r="AI72" s="4"/>
    </row>
    <row r="73" spans="1:35" ht="16" customHeight="1">
      <c r="A73" s="32" t="s">
        <v>68</v>
      </c>
      <c r="B73" s="26" t="s">
        <v>82</v>
      </c>
      <c r="C73" s="26" t="s">
        <v>83</v>
      </c>
      <c r="D73" s="32" t="s">
        <v>99</v>
      </c>
      <c r="E73" s="32" t="s">
        <v>98</v>
      </c>
      <c r="N73" s="4">
        <f t="shared" si="36"/>
        <v>70</v>
      </c>
      <c r="O73" s="8">
        <f t="shared" si="30"/>
        <v>102</v>
      </c>
      <c r="P73" s="8">
        <f t="shared" ca="1" si="37"/>
        <v>2716506.72</v>
      </c>
      <c r="Q73" s="8">
        <f t="shared" si="31"/>
        <v>-1800840</v>
      </c>
      <c r="R73" s="8">
        <f t="shared" si="38"/>
        <v>0</v>
      </c>
      <c r="S73" s="8">
        <f t="shared" ca="1" si="32"/>
        <v>915666.7200000002</v>
      </c>
      <c r="T73" s="38">
        <f t="shared" ca="1" si="43"/>
        <v>27328175.359999996</v>
      </c>
      <c r="U73" s="8">
        <f t="shared" ca="1" si="33"/>
        <v>145941525.88949013</v>
      </c>
      <c r="V73" s="8">
        <f t="shared" si="39"/>
        <v>115158592.74707781</v>
      </c>
      <c r="W73" s="8">
        <f t="shared" si="29"/>
        <v>118613350.52949014</v>
      </c>
      <c r="X73" s="8">
        <f t="shared" si="34"/>
        <v>0</v>
      </c>
      <c r="Y73" s="8">
        <f t="shared" si="35"/>
        <v>3454757.7824123339</v>
      </c>
      <c r="Z73" s="8">
        <f t="shared" si="40"/>
        <v>17820000</v>
      </c>
      <c r="AA73" s="7">
        <f t="shared" si="41"/>
        <v>72</v>
      </c>
      <c r="AB73" s="7">
        <f t="shared" si="42"/>
        <v>68</v>
      </c>
      <c r="AC73" s="4" t="str">
        <f t="shared" si="44"/>
        <v>-</v>
      </c>
      <c r="AD73" s="4" t="str">
        <f t="shared" si="45"/>
        <v>-</v>
      </c>
      <c r="AE73" s="36">
        <f>IF(AND(AA73&gt;=4,AA73&lt;=6),$E$56,0)+IF(AND(AA73&gt;=7,AA73&lt;=12),$E$57,0)+IF(AND(AA73&gt;=13,AA73&lt;=15),$E$58,0)+IF(AND(AA73&gt;=16,AA73&lt;=18),$E$59,0)+IF(AND(AA73&gt;=19,AA73&lt;=22),$E$60,0)+IF(AND(AA73&gt;=23,AA73&lt;=24),$E$61,0)+IF(AA73=$B$47,$B$48,0)</f>
        <v>0</v>
      </c>
      <c r="AF73" s="36">
        <f>IF(AND(AB73&gt;=4,AB73&lt;=6),$E$65,0)+IF(AND(AB73&gt;=7,AB73&lt;=12),$E$66,0)+IF(AND(AB73&gt;=13,AB73&lt;=15),$E$67,0)+IF(AND(AB73&gt;=16,AB73&lt;=18),$E$68,0)+IF(AND(AB73&gt;=19,AB73&lt;=22),$E$69,0)+IF(AND(AB73&gt;=23,AB73&lt;=24),$E$70,0)+IF(AB73=$B$47,$B$48,0)</f>
        <v>0</v>
      </c>
      <c r="AG73" s="36">
        <f>IF(AND(AC73&gt;=4,AC73&lt;=6),$E$74,0)+IF(AND(AC73&gt;=7,AC73&lt;=12),$E$75,0)+IF(AND(AC73&gt;=13,AC73&lt;=15),$E$76,0)+IF(AND(AC73&gt;=16,AC73&lt;=18),$E$77,0)+IF(AND(AC73&gt;=19,AC73&lt;=22),$E$78,0)+IF(AND(AC73&gt;=23,AC73&lt;=24),$E$79,0)+IF(AC73=$B$47,$B$48,0)</f>
        <v>0</v>
      </c>
      <c r="AH73" s="36">
        <f>IF(AND(AD73&gt;=4,AD73&lt;=6),$E$83,0)+IF(AND(AD73&gt;=7,AD73&lt;=12),$E$84,0)+IF(AND(AD73&gt;=13,AD73&lt;=15),$E$85,0)+IF(AND(AD73&gt;=16,AD73&lt;=18),$E$86,0)+IF(AND(AD73&gt;=19,AD73&lt;=22),$E$87,0)+IF(AND(AD73&gt;=23,AD73&lt;=24),$E$88,0)+IF(AD73=$B$47,$B$48,0)</f>
        <v>0</v>
      </c>
      <c r="AI73" s="4"/>
    </row>
    <row r="74" spans="1:35" ht="16" customHeight="1">
      <c r="A74" s="64" t="s">
        <v>70</v>
      </c>
      <c r="B74" s="33"/>
      <c r="C74" s="29">
        <f>IF(B74=AK$4,AK$5,IF(B74=AL$4,AL$5,0))*10000</f>
        <v>0</v>
      </c>
      <c r="D74" s="34"/>
      <c r="E74" s="31">
        <f>C74/3+D74</f>
        <v>0</v>
      </c>
      <c r="N74" s="4">
        <f t="shared" si="36"/>
        <v>71</v>
      </c>
      <c r="O74" s="8">
        <f t="shared" si="30"/>
        <v>103</v>
      </c>
      <c r="P74" s="8">
        <f t="shared" ca="1" si="37"/>
        <v>2716506.72</v>
      </c>
      <c r="Q74" s="8">
        <f t="shared" si="31"/>
        <v>-1800840</v>
      </c>
      <c r="R74" s="8">
        <f t="shared" si="38"/>
        <v>0</v>
      </c>
      <c r="S74" s="8">
        <f t="shared" ca="1" si="32"/>
        <v>915666.7200000002</v>
      </c>
      <c r="T74" s="38">
        <f t="shared" ca="1" si="43"/>
        <v>28243842.079999994</v>
      </c>
      <c r="U74" s="8">
        <f t="shared" ca="1" si="33"/>
        <v>150415593.12537482</v>
      </c>
      <c r="V74" s="8">
        <f t="shared" si="39"/>
        <v>118613350.52949014</v>
      </c>
      <c r="W74" s="8">
        <f t="shared" si="29"/>
        <v>122171751.04537484</v>
      </c>
      <c r="X74" s="8">
        <f t="shared" si="34"/>
        <v>0</v>
      </c>
      <c r="Y74" s="8">
        <f t="shared" si="35"/>
        <v>3558400.515884704</v>
      </c>
      <c r="Z74" s="8">
        <f t="shared" si="40"/>
        <v>17820000</v>
      </c>
      <c r="AA74" s="7">
        <f t="shared" si="41"/>
        <v>73</v>
      </c>
      <c r="AB74" s="7">
        <f t="shared" si="42"/>
        <v>69</v>
      </c>
      <c r="AC74" s="4" t="str">
        <f t="shared" si="44"/>
        <v>-</v>
      </c>
      <c r="AD74" s="4" t="str">
        <f t="shared" si="45"/>
        <v>-</v>
      </c>
      <c r="AE74" s="36">
        <f>IF(AND(AA74&gt;=4,AA74&lt;=6),$E$56,0)+IF(AND(AA74&gt;=7,AA74&lt;=12),$E$57,0)+IF(AND(AA74&gt;=13,AA74&lt;=15),$E$58,0)+IF(AND(AA74&gt;=16,AA74&lt;=18),$E$59,0)+IF(AND(AA74&gt;=19,AA74&lt;=22),$E$60,0)+IF(AND(AA74&gt;=23,AA74&lt;=24),$E$61,0)+IF(AA74=$B$47,$B$48,0)</f>
        <v>0</v>
      </c>
      <c r="AF74" s="36">
        <f>IF(AND(AB74&gt;=4,AB74&lt;=6),$E$65,0)+IF(AND(AB74&gt;=7,AB74&lt;=12),$E$66,0)+IF(AND(AB74&gt;=13,AB74&lt;=15),$E$67,0)+IF(AND(AB74&gt;=16,AB74&lt;=18),$E$68,0)+IF(AND(AB74&gt;=19,AB74&lt;=22),$E$69,0)+IF(AND(AB74&gt;=23,AB74&lt;=24),$E$70,0)+IF(AB74=$B$47,$B$48,0)</f>
        <v>0</v>
      </c>
      <c r="AG74" s="36">
        <f>IF(AND(AC74&gt;=4,AC74&lt;=6),$E$74,0)+IF(AND(AC74&gt;=7,AC74&lt;=12),$E$75,0)+IF(AND(AC74&gt;=13,AC74&lt;=15),$E$76,0)+IF(AND(AC74&gt;=16,AC74&lt;=18),$E$77,0)+IF(AND(AC74&gt;=19,AC74&lt;=22),$E$78,0)+IF(AND(AC74&gt;=23,AC74&lt;=24),$E$79,0)+IF(AC74=$B$47,$B$48,0)</f>
        <v>0</v>
      </c>
      <c r="AH74" s="36">
        <f>IF(AND(AD74&gt;=4,AD74&lt;=6),$E$83,0)+IF(AND(AD74&gt;=7,AD74&lt;=12),$E$84,0)+IF(AND(AD74&gt;=13,AD74&lt;=15),$E$85,0)+IF(AND(AD74&gt;=16,AD74&lt;=18),$E$86,0)+IF(AND(AD74&gt;=19,AD74&lt;=22),$E$87,0)+IF(AND(AD74&gt;=23,AD74&lt;=24),$E$88,0)+IF(AD74=$B$47,$B$48,0)</f>
        <v>0</v>
      </c>
      <c r="AI74" s="4"/>
    </row>
    <row r="75" spans="1:35" ht="16" customHeight="1">
      <c r="A75" s="64" t="s">
        <v>71</v>
      </c>
      <c r="B75" s="33"/>
      <c r="C75" s="29">
        <f>IF(B75=AK$4,AK$6,IF(B75=AL$4,AL$6,0))*10000</f>
        <v>0</v>
      </c>
      <c r="D75" s="34"/>
      <c r="E75">
        <f>C75/6+D75</f>
        <v>0</v>
      </c>
      <c r="N75" s="4">
        <f t="shared" si="36"/>
        <v>72</v>
      </c>
      <c r="O75" s="8">
        <f t="shared" si="30"/>
        <v>104</v>
      </c>
      <c r="P75" s="8">
        <f t="shared" ca="1" si="37"/>
        <v>2716506.72</v>
      </c>
      <c r="Q75" s="8">
        <f t="shared" si="31"/>
        <v>-1800840</v>
      </c>
      <c r="R75" s="8">
        <f t="shared" si="38"/>
        <v>0</v>
      </c>
      <c r="S75" s="8">
        <f t="shared" ca="1" si="32"/>
        <v>915666.7200000002</v>
      </c>
      <c r="T75" s="38">
        <f t="shared" ca="1" si="43"/>
        <v>29159508.799999993</v>
      </c>
      <c r="U75" s="8">
        <f t="shared" ca="1" si="33"/>
        <v>154996412.37673607</v>
      </c>
      <c r="V75" s="8">
        <f t="shared" si="39"/>
        <v>122171751.04537484</v>
      </c>
      <c r="W75" s="8">
        <f t="shared" si="29"/>
        <v>125836903.57673609</v>
      </c>
      <c r="X75" s="8">
        <f t="shared" si="34"/>
        <v>0</v>
      </c>
      <c r="Y75" s="8">
        <f t="shared" si="35"/>
        <v>3665152.5313612451</v>
      </c>
      <c r="Z75" s="8">
        <f t="shared" si="40"/>
        <v>17820000</v>
      </c>
      <c r="AA75" s="7">
        <f t="shared" si="41"/>
        <v>74</v>
      </c>
      <c r="AB75" s="7">
        <f t="shared" si="42"/>
        <v>70</v>
      </c>
      <c r="AC75" s="4" t="str">
        <f t="shared" si="44"/>
        <v>-</v>
      </c>
      <c r="AD75" s="4" t="str">
        <f t="shared" si="45"/>
        <v>-</v>
      </c>
      <c r="AE75" s="36">
        <f>IF(AND(AA75&gt;=4,AA75&lt;=6),$E$56,0)+IF(AND(AA75&gt;=7,AA75&lt;=12),$E$57,0)+IF(AND(AA75&gt;=13,AA75&lt;=15),$E$58,0)+IF(AND(AA75&gt;=16,AA75&lt;=18),$E$59,0)+IF(AND(AA75&gt;=19,AA75&lt;=22),$E$60,0)+IF(AND(AA75&gt;=23,AA75&lt;=24),$E$61,0)+IF(AA75=$B$47,$B$48,0)</f>
        <v>0</v>
      </c>
      <c r="AF75" s="36">
        <f>IF(AND(AB75&gt;=4,AB75&lt;=6),$E$65,0)+IF(AND(AB75&gt;=7,AB75&lt;=12),$E$66,0)+IF(AND(AB75&gt;=13,AB75&lt;=15),$E$67,0)+IF(AND(AB75&gt;=16,AB75&lt;=18),$E$68,0)+IF(AND(AB75&gt;=19,AB75&lt;=22),$E$69,0)+IF(AND(AB75&gt;=23,AB75&lt;=24),$E$70,0)+IF(AB75=$B$47,$B$48,0)</f>
        <v>0</v>
      </c>
      <c r="AG75" s="36">
        <f>IF(AND(AC75&gt;=4,AC75&lt;=6),$E$74,0)+IF(AND(AC75&gt;=7,AC75&lt;=12),$E$75,0)+IF(AND(AC75&gt;=13,AC75&lt;=15),$E$76,0)+IF(AND(AC75&gt;=16,AC75&lt;=18),$E$77,0)+IF(AND(AC75&gt;=19,AC75&lt;=22),$E$78,0)+IF(AND(AC75&gt;=23,AC75&lt;=24),$E$79,0)+IF(AC75=$B$47,$B$48,0)</f>
        <v>0</v>
      </c>
      <c r="AH75" s="36">
        <f>IF(AND(AD75&gt;=4,AD75&lt;=6),$E$83,0)+IF(AND(AD75&gt;=7,AD75&lt;=12),$E$84,0)+IF(AND(AD75&gt;=13,AD75&lt;=15),$E$85,0)+IF(AND(AD75&gt;=16,AD75&lt;=18),$E$86,0)+IF(AND(AD75&gt;=19,AD75&lt;=22),$E$87,0)+IF(AND(AD75&gt;=23,AD75&lt;=24),$E$88,0)+IF(AD75=$B$47,$B$48,0)</f>
        <v>0</v>
      </c>
      <c r="AI75" s="4"/>
    </row>
    <row r="76" spans="1:35" ht="16" customHeight="1">
      <c r="A76" s="64" t="s">
        <v>72</v>
      </c>
      <c r="B76" s="33"/>
      <c r="C76" s="29">
        <f>IF(B76=AK$4,AK$8,IF(B76=AL$4,AL$8,0))*10000</f>
        <v>0</v>
      </c>
      <c r="D76" s="37"/>
      <c r="E76" s="29">
        <f>C76/3+D76</f>
        <v>0</v>
      </c>
      <c r="F76" s="21"/>
      <c r="G76" s="21"/>
      <c r="H76" s="21"/>
      <c r="I76" s="21"/>
      <c r="J76" s="21"/>
      <c r="K76" s="21"/>
      <c r="L76" s="21"/>
      <c r="M76" s="21"/>
      <c r="N76" s="4">
        <f t="shared" si="36"/>
        <v>73</v>
      </c>
      <c r="O76" s="8">
        <f t="shared" si="30"/>
        <v>105</v>
      </c>
      <c r="P76" s="8">
        <f t="shared" ca="1" si="37"/>
        <v>2716506.72</v>
      </c>
      <c r="Q76" s="8">
        <f t="shared" si="31"/>
        <v>-1800840</v>
      </c>
      <c r="R76" s="8">
        <f t="shared" si="38"/>
        <v>0</v>
      </c>
      <c r="S76" s="8">
        <f t="shared" ca="1" si="32"/>
        <v>915666.7200000002</v>
      </c>
      <c r="T76" s="38">
        <f t="shared" ca="1" si="43"/>
        <v>30075175.519999992</v>
      </c>
      <c r="U76" s="8">
        <f t="shared" ca="1" si="33"/>
        <v>159687186.20403817</v>
      </c>
      <c r="V76" s="8">
        <f t="shared" si="39"/>
        <v>125836903.57673609</v>
      </c>
      <c r="W76" s="8">
        <f t="shared" si="29"/>
        <v>129612010.68403818</v>
      </c>
      <c r="X76" s="8">
        <f t="shared" si="34"/>
        <v>0</v>
      </c>
      <c r="Y76" s="8">
        <f t="shared" si="35"/>
        <v>3775107.1073020827</v>
      </c>
      <c r="Z76" s="8">
        <f t="shared" si="40"/>
        <v>17820000</v>
      </c>
      <c r="AA76" s="7">
        <f t="shared" si="41"/>
        <v>75</v>
      </c>
      <c r="AB76" s="7">
        <f t="shared" si="42"/>
        <v>71</v>
      </c>
      <c r="AC76" s="4" t="str">
        <f t="shared" si="44"/>
        <v>-</v>
      </c>
      <c r="AD76" s="4" t="str">
        <f t="shared" si="45"/>
        <v>-</v>
      </c>
      <c r="AE76" s="36">
        <f>IF(AND(AA76&gt;=4,AA76&lt;=6),$E$56,0)+IF(AND(AA76&gt;=7,AA76&lt;=12),$E$57,0)+IF(AND(AA76&gt;=13,AA76&lt;=15),$E$58,0)+IF(AND(AA76&gt;=16,AA76&lt;=18),$E$59,0)+IF(AND(AA76&gt;=19,AA76&lt;=22),$E$60,0)+IF(AND(AA76&gt;=23,AA76&lt;=24),$E$61,0)+IF(AA76=$B$47,$B$48,0)</f>
        <v>0</v>
      </c>
      <c r="AF76" s="36">
        <f>IF(AND(AB76&gt;=4,AB76&lt;=6),$E$65,0)+IF(AND(AB76&gt;=7,AB76&lt;=12),$E$66,0)+IF(AND(AB76&gt;=13,AB76&lt;=15),$E$67,0)+IF(AND(AB76&gt;=16,AB76&lt;=18),$E$68,0)+IF(AND(AB76&gt;=19,AB76&lt;=22),$E$69,0)+IF(AND(AB76&gt;=23,AB76&lt;=24),$E$70,0)+IF(AB76=$B$47,$B$48,0)</f>
        <v>0</v>
      </c>
      <c r="AG76" s="36">
        <f>IF(AND(AC76&gt;=4,AC76&lt;=6),$E$74,0)+IF(AND(AC76&gt;=7,AC76&lt;=12),$E$75,0)+IF(AND(AC76&gt;=13,AC76&lt;=15),$E$76,0)+IF(AND(AC76&gt;=16,AC76&lt;=18),$E$77,0)+IF(AND(AC76&gt;=19,AC76&lt;=22),$E$78,0)+IF(AND(AC76&gt;=23,AC76&lt;=24),$E$79,0)+IF(AC76=$B$47,$B$48,0)</f>
        <v>0</v>
      </c>
      <c r="AH76" s="36">
        <f>IF(AND(AD76&gt;=4,AD76&lt;=6),$E$83,0)+IF(AND(AD76&gt;=7,AD76&lt;=12),$E$84,0)+IF(AND(AD76&gt;=13,AD76&lt;=15),$E$85,0)+IF(AND(AD76&gt;=16,AD76&lt;=18),$E$86,0)+IF(AND(AD76&gt;=19,AD76&lt;=22),$E$87,0)+IF(AND(AD76&gt;=23,AD76&lt;=24),$E$88,0)+IF(AD76=$B$47,$B$48,0)</f>
        <v>0</v>
      </c>
      <c r="AI76" s="4"/>
    </row>
    <row r="77" spans="1:35" ht="16" customHeight="1">
      <c r="A77" s="64" t="s">
        <v>73</v>
      </c>
      <c r="B77" s="33"/>
      <c r="C77" s="29">
        <f>IF(B77=AK$4,AK$7,IF(B77=AL$4,AL$7,0))*10000</f>
        <v>0</v>
      </c>
      <c r="D77" s="37"/>
      <c r="E77" s="29">
        <f>C77/3+D77</f>
        <v>0</v>
      </c>
      <c r="F77" s="31"/>
      <c r="G77" s="31"/>
      <c r="H77" s="31"/>
      <c r="I77" s="31"/>
      <c r="J77" s="31"/>
      <c r="K77" s="31"/>
      <c r="L77" s="31"/>
      <c r="M77" s="31"/>
      <c r="N77" s="4">
        <f t="shared" si="36"/>
        <v>74</v>
      </c>
      <c r="O77" s="8">
        <f t="shared" si="30"/>
        <v>106</v>
      </c>
      <c r="P77" s="8">
        <f t="shared" ca="1" si="37"/>
        <v>2716506.72</v>
      </c>
      <c r="Q77" s="8">
        <f t="shared" si="31"/>
        <v>-1800840</v>
      </c>
      <c r="R77" s="8">
        <f t="shared" si="38"/>
        <v>0</v>
      </c>
      <c r="S77" s="8">
        <f t="shared" ca="1" si="32"/>
        <v>915666.7200000002</v>
      </c>
      <c r="T77" s="38">
        <f t="shared" ca="1" si="43"/>
        <v>30990842.239999991</v>
      </c>
      <c r="U77" s="8">
        <f t="shared" ca="1" si="33"/>
        <v>164491213.24455932</v>
      </c>
      <c r="V77" s="8">
        <f t="shared" si="39"/>
        <v>129612010.68403818</v>
      </c>
      <c r="W77" s="8">
        <f t="shared" si="29"/>
        <v>133500371.00455932</v>
      </c>
      <c r="X77" s="8">
        <f t="shared" si="34"/>
        <v>0</v>
      </c>
      <c r="Y77" s="8">
        <f t="shared" si="35"/>
        <v>3888360.3205211451</v>
      </c>
      <c r="Z77" s="8">
        <f t="shared" si="40"/>
        <v>17820000</v>
      </c>
      <c r="AA77" s="7">
        <f t="shared" si="41"/>
        <v>76</v>
      </c>
      <c r="AB77" s="7">
        <f t="shared" si="42"/>
        <v>72</v>
      </c>
      <c r="AC77" s="4" t="str">
        <f t="shared" si="44"/>
        <v>-</v>
      </c>
      <c r="AD77" s="4" t="str">
        <f t="shared" si="45"/>
        <v>-</v>
      </c>
      <c r="AE77" s="36">
        <f>IF(AND(AA77&gt;=4,AA77&lt;=6),$E$56,0)+IF(AND(AA77&gt;=7,AA77&lt;=12),$E$57,0)+IF(AND(AA77&gt;=13,AA77&lt;=15),$E$58,0)+IF(AND(AA77&gt;=16,AA77&lt;=18),$E$59,0)+IF(AND(AA77&gt;=19,AA77&lt;=22),$E$60,0)+IF(AND(AA77&gt;=23,AA77&lt;=24),$E$61,0)+IF(AA77=$B$47,$B$48,0)</f>
        <v>0</v>
      </c>
      <c r="AF77" s="36">
        <f>IF(AND(AB77&gt;=4,AB77&lt;=6),$E$65,0)+IF(AND(AB77&gt;=7,AB77&lt;=12),$E$66,0)+IF(AND(AB77&gt;=13,AB77&lt;=15),$E$67,0)+IF(AND(AB77&gt;=16,AB77&lt;=18),$E$68,0)+IF(AND(AB77&gt;=19,AB77&lt;=22),$E$69,0)+IF(AND(AB77&gt;=23,AB77&lt;=24),$E$70,0)+IF(AB77=$B$47,$B$48,0)</f>
        <v>0</v>
      </c>
      <c r="AG77" s="36">
        <f>IF(AND(AC77&gt;=4,AC77&lt;=6),$E$74,0)+IF(AND(AC77&gt;=7,AC77&lt;=12),$E$75,0)+IF(AND(AC77&gt;=13,AC77&lt;=15),$E$76,0)+IF(AND(AC77&gt;=16,AC77&lt;=18),$E$77,0)+IF(AND(AC77&gt;=19,AC77&lt;=22),$E$78,0)+IF(AND(AC77&gt;=23,AC77&lt;=24),$E$79,0)+IF(AC77=$B$47,$B$48,0)</f>
        <v>0</v>
      </c>
      <c r="AH77" s="36">
        <f>IF(AND(AD77&gt;=4,AD77&lt;=6),$E$83,0)+IF(AND(AD77&gt;=7,AD77&lt;=12),$E$84,0)+IF(AND(AD77&gt;=13,AD77&lt;=15),$E$85,0)+IF(AND(AD77&gt;=16,AD77&lt;=18),$E$86,0)+IF(AND(AD77&gt;=19,AD77&lt;=22),$E$87,0)+IF(AND(AD77&gt;=23,AD77&lt;=24),$E$88,0)+IF(AD77=$B$47,$B$48,0)</f>
        <v>0</v>
      </c>
      <c r="AI77" s="4"/>
    </row>
    <row r="78" spans="1:35" ht="16" customHeight="1">
      <c r="A78" s="64" t="s">
        <v>74</v>
      </c>
      <c r="B78" s="33"/>
      <c r="C78" s="29">
        <f>IF(B78=AK$9,AK$10,IF(B78=AL$9,AL$10,IF(B78=AM$9,AM$10,0)))*10000</f>
        <v>0</v>
      </c>
      <c r="E78">
        <f>C78/4</f>
        <v>0</v>
      </c>
      <c r="N78" s="4">
        <f t="shared" si="36"/>
        <v>75</v>
      </c>
      <c r="O78" s="8">
        <f t="shared" si="30"/>
        <v>107</v>
      </c>
      <c r="P78" s="8">
        <f t="shared" ca="1" si="37"/>
        <v>2716506.72</v>
      </c>
      <c r="Q78" s="8">
        <f t="shared" si="31"/>
        <v>-1800840</v>
      </c>
      <c r="R78" s="8">
        <f t="shared" si="38"/>
        <v>0</v>
      </c>
      <c r="S78" s="8">
        <f t="shared" ca="1" si="32"/>
        <v>915666.7200000002</v>
      </c>
      <c r="T78" s="38">
        <f t="shared" ca="1" si="43"/>
        <v>31906508.95999999</v>
      </c>
      <c r="U78" s="8">
        <f t="shared" ca="1" si="33"/>
        <v>169411891.09469607</v>
      </c>
      <c r="V78" s="8">
        <f t="shared" si="39"/>
        <v>133500371.00455932</v>
      </c>
      <c r="W78" s="8">
        <f t="shared" si="29"/>
        <v>137505382.1346961</v>
      </c>
      <c r="X78" s="8">
        <f t="shared" si="34"/>
        <v>0</v>
      </c>
      <c r="Y78" s="8">
        <f t="shared" si="35"/>
        <v>4005011.1301367795</v>
      </c>
      <c r="Z78" s="8">
        <f t="shared" si="40"/>
        <v>17820000</v>
      </c>
      <c r="AA78" s="7">
        <f t="shared" si="41"/>
        <v>77</v>
      </c>
      <c r="AB78" s="7">
        <f t="shared" si="42"/>
        <v>73</v>
      </c>
      <c r="AC78" s="4" t="str">
        <f t="shared" si="44"/>
        <v>-</v>
      </c>
      <c r="AD78" s="4" t="str">
        <f t="shared" si="45"/>
        <v>-</v>
      </c>
      <c r="AE78" s="36">
        <f>IF(AND(AA78&gt;=4,AA78&lt;=6),$E$56,0)+IF(AND(AA78&gt;=7,AA78&lt;=12),$E$57,0)+IF(AND(AA78&gt;=13,AA78&lt;=15),$E$58,0)+IF(AND(AA78&gt;=16,AA78&lt;=18),$E$59,0)+IF(AND(AA78&gt;=19,AA78&lt;=22),$E$60,0)+IF(AND(AA78&gt;=23,AA78&lt;=24),$E$61,0)+IF(AA78=$B$47,$B$48,0)</f>
        <v>0</v>
      </c>
      <c r="AF78" s="36">
        <f>IF(AND(AB78&gt;=4,AB78&lt;=6),$E$65,0)+IF(AND(AB78&gt;=7,AB78&lt;=12),$E$66,0)+IF(AND(AB78&gt;=13,AB78&lt;=15),$E$67,0)+IF(AND(AB78&gt;=16,AB78&lt;=18),$E$68,0)+IF(AND(AB78&gt;=19,AB78&lt;=22),$E$69,0)+IF(AND(AB78&gt;=23,AB78&lt;=24),$E$70,0)+IF(AB78=$B$47,$B$48,0)</f>
        <v>0</v>
      </c>
      <c r="AG78" s="36">
        <f>IF(AND(AC78&gt;=4,AC78&lt;=6),$E$74,0)+IF(AND(AC78&gt;=7,AC78&lt;=12),$E$75,0)+IF(AND(AC78&gt;=13,AC78&lt;=15),$E$76,0)+IF(AND(AC78&gt;=16,AC78&lt;=18),$E$77,0)+IF(AND(AC78&gt;=19,AC78&lt;=22),$E$78,0)+IF(AND(AC78&gt;=23,AC78&lt;=24),$E$79,0)+IF(AC78=$B$47,$B$48,0)</f>
        <v>0</v>
      </c>
      <c r="AH78" s="36">
        <f>IF(AND(AD78&gt;=4,AD78&lt;=6),$E$83,0)+IF(AND(AD78&gt;=7,AD78&lt;=12),$E$84,0)+IF(AND(AD78&gt;=13,AD78&lt;=15),$E$85,0)+IF(AND(AD78&gt;=16,AD78&lt;=18),$E$86,0)+IF(AND(AD78&gt;=19,AD78&lt;=22),$E$87,0)+IF(AND(AD78&gt;=23,AD78&lt;=24),$E$88,0)+IF(AD78=$B$47,$B$48,0)</f>
        <v>0</v>
      </c>
      <c r="AI78" s="4"/>
    </row>
    <row r="79" spans="1:35" ht="16" customHeight="1">
      <c r="A79" s="64" t="s">
        <v>75</v>
      </c>
      <c r="B79" s="33"/>
      <c r="C79" s="29">
        <f>IF(B79=AK$9,AK$11,IF(B79=AL$9,AL$11,IF(B79=AM$9,AM$11,0)))*10000</f>
        <v>0</v>
      </c>
      <c r="E79">
        <f>C79/2</f>
        <v>0</v>
      </c>
      <c r="F79" s="29"/>
      <c r="G79" s="29"/>
      <c r="H79" s="29"/>
      <c r="I79" s="29"/>
      <c r="J79" s="29"/>
      <c r="K79" s="29"/>
      <c r="L79" s="29"/>
      <c r="M79" s="29"/>
      <c r="N79" s="4">
        <f t="shared" si="36"/>
        <v>76</v>
      </c>
      <c r="O79" s="8">
        <f t="shared" si="30"/>
        <v>108</v>
      </c>
      <c r="P79" s="8">
        <f t="shared" ca="1" si="37"/>
        <v>2716506.72</v>
      </c>
      <c r="Q79" s="8">
        <f t="shared" si="31"/>
        <v>-1800840</v>
      </c>
      <c r="R79" s="8">
        <f t="shared" si="38"/>
        <v>0</v>
      </c>
      <c r="S79" s="8">
        <f t="shared" ca="1" si="32"/>
        <v>915666.7200000002</v>
      </c>
      <c r="T79" s="38">
        <f t="shared" ca="1" si="43"/>
        <v>32822175.679999989</v>
      </c>
      <c r="U79" s="8">
        <f t="shared" ca="1" si="33"/>
        <v>174452719.27873695</v>
      </c>
      <c r="V79" s="8">
        <f t="shared" si="39"/>
        <v>137505382.1346961</v>
      </c>
      <c r="W79" s="8">
        <f t="shared" si="29"/>
        <v>141630543.59873697</v>
      </c>
      <c r="X79" s="8">
        <f t="shared" si="34"/>
        <v>0</v>
      </c>
      <c r="Y79" s="8">
        <f t="shared" si="35"/>
        <v>4125161.4640408829</v>
      </c>
      <c r="Z79" s="8">
        <f t="shared" si="40"/>
        <v>17820000</v>
      </c>
      <c r="AA79" s="7">
        <f t="shared" si="41"/>
        <v>78</v>
      </c>
      <c r="AB79" s="7">
        <f t="shared" si="42"/>
        <v>74</v>
      </c>
      <c r="AC79" s="4" t="str">
        <f t="shared" si="44"/>
        <v>-</v>
      </c>
      <c r="AD79" s="4" t="str">
        <f t="shared" si="45"/>
        <v>-</v>
      </c>
      <c r="AE79" s="36">
        <f>IF(AND(AA79&gt;=4,AA79&lt;=6),$E$56,0)+IF(AND(AA79&gt;=7,AA79&lt;=12),$E$57,0)+IF(AND(AA79&gt;=13,AA79&lt;=15),$E$58,0)+IF(AND(AA79&gt;=16,AA79&lt;=18),$E$59,0)+IF(AND(AA79&gt;=19,AA79&lt;=22),$E$60,0)+IF(AND(AA79&gt;=23,AA79&lt;=24),$E$61,0)+IF(AA79=$B$47,$B$48,0)</f>
        <v>0</v>
      </c>
      <c r="AF79" s="36">
        <f>IF(AND(AB79&gt;=4,AB79&lt;=6),$E$65,0)+IF(AND(AB79&gt;=7,AB79&lt;=12),$E$66,0)+IF(AND(AB79&gt;=13,AB79&lt;=15),$E$67,0)+IF(AND(AB79&gt;=16,AB79&lt;=18),$E$68,0)+IF(AND(AB79&gt;=19,AB79&lt;=22),$E$69,0)+IF(AND(AB79&gt;=23,AB79&lt;=24),$E$70,0)+IF(AB79=$B$47,$B$48,0)</f>
        <v>0</v>
      </c>
      <c r="AG79" s="36">
        <f>IF(AND(AC79&gt;=4,AC79&lt;=6),$E$74,0)+IF(AND(AC79&gt;=7,AC79&lt;=12),$E$75,0)+IF(AND(AC79&gt;=13,AC79&lt;=15),$E$76,0)+IF(AND(AC79&gt;=16,AC79&lt;=18),$E$77,0)+IF(AND(AC79&gt;=19,AC79&lt;=22),$E$78,0)+IF(AND(AC79&gt;=23,AC79&lt;=24),$E$79,0)+IF(AC79=$B$47,$B$48,0)</f>
        <v>0</v>
      </c>
      <c r="AH79" s="36">
        <f>IF(AND(AD79&gt;=4,AD79&lt;=6),$E$83,0)+IF(AND(AD79&gt;=7,AD79&lt;=12),$E$84,0)+IF(AND(AD79&gt;=13,AD79&lt;=15),$E$85,0)+IF(AND(AD79&gt;=16,AD79&lt;=18),$E$86,0)+IF(AND(AD79&gt;=19,AD79&lt;=22),$E$87,0)+IF(AND(AD79&gt;=23,AD79&lt;=24),$E$88,0)+IF(AD79=$B$47,$B$48,0)</f>
        <v>0</v>
      </c>
      <c r="AI79" s="4"/>
    </row>
    <row r="80" spans="1:35" ht="16" customHeight="1">
      <c r="A80" s="64" t="s">
        <v>85</v>
      </c>
      <c r="B80" s="30"/>
      <c r="C80" s="31">
        <f>SUM(C74:C79)</f>
        <v>0</v>
      </c>
      <c r="F80" s="29"/>
      <c r="G80" s="29"/>
      <c r="H80" s="29"/>
      <c r="I80" s="29"/>
      <c r="J80" s="29"/>
      <c r="K80" s="29"/>
      <c r="L80" s="29"/>
      <c r="M80" s="29"/>
      <c r="N80" s="4">
        <f t="shared" si="36"/>
        <v>77</v>
      </c>
      <c r="O80" s="8">
        <f t="shared" si="30"/>
        <v>109</v>
      </c>
      <c r="P80" s="8">
        <f t="shared" ca="1" si="37"/>
        <v>2716506.72</v>
      </c>
      <c r="Q80" s="8">
        <f t="shared" si="31"/>
        <v>-1800840</v>
      </c>
      <c r="R80" s="8">
        <f t="shared" si="38"/>
        <v>0</v>
      </c>
      <c r="S80" s="8">
        <f t="shared" ca="1" si="32"/>
        <v>915666.7200000002</v>
      </c>
      <c r="T80" s="38">
        <f t="shared" ca="1" si="43"/>
        <v>33737842.399999991</v>
      </c>
      <c r="U80" s="8">
        <f t="shared" ca="1" si="33"/>
        <v>179617302.3066991</v>
      </c>
      <c r="V80" s="8">
        <f t="shared" si="39"/>
        <v>141630543.59873697</v>
      </c>
      <c r="W80" s="8">
        <f t="shared" si="29"/>
        <v>145879459.90669909</v>
      </c>
      <c r="X80" s="8">
        <f t="shared" si="34"/>
        <v>0</v>
      </c>
      <c r="Y80" s="8">
        <f t="shared" si="35"/>
        <v>4248916.3079621093</v>
      </c>
      <c r="Z80" s="8">
        <f t="shared" si="40"/>
        <v>17820000</v>
      </c>
      <c r="AA80" s="7">
        <f t="shared" si="41"/>
        <v>79</v>
      </c>
      <c r="AB80" s="7">
        <f t="shared" si="42"/>
        <v>75</v>
      </c>
      <c r="AC80" s="4" t="str">
        <f t="shared" si="44"/>
        <v>-</v>
      </c>
      <c r="AD80" s="4" t="str">
        <f t="shared" si="45"/>
        <v>-</v>
      </c>
      <c r="AE80" s="36">
        <f>IF(AND(AA80&gt;=4,AA80&lt;=6),$E$56,0)+IF(AND(AA80&gt;=7,AA80&lt;=12),$E$57,0)+IF(AND(AA80&gt;=13,AA80&lt;=15),$E$58,0)+IF(AND(AA80&gt;=16,AA80&lt;=18),$E$59,0)+IF(AND(AA80&gt;=19,AA80&lt;=22),$E$60,0)+IF(AND(AA80&gt;=23,AA80&lt;=24),$E$61,0)+IF(AA80=$B$47,$B$48,0)</f>
        <v>0</v>
      </c>
      <c r="AF80" s="36">
        <f>IF(AND(AB80&gt;=4,AB80&lt;=6),$E$65,0)+IF(AND(AB80&gt;=7,AB80&lt;=12),$E$66,0)+IF(AND(AB80&gt;=13,AB80&lt;=15),$E$67,0)+IF(AND(AB80&gt;=16,AB80&lt;=18),$E$68,0)+IF(AND(AB80&gt;=19,AB80&lt;=22),$E$69,0)+IF(AND(AB80&gt;=23,AB80&lt;=24),$E$70,0)+IF(AB80=$B$47,$B$48,0)</f>
        <v>0</v>
      </c>
      <c r="AG80" s="36">
        <f>IF(AND(AC80&gt;=4,AC80&lt;=6),$E$74,0)+IF(AND(AC80&gt;=7,AC80&lt;=12),$E$75,0)+IF(AND(AC80&gt;=13,AC80&lt;=15),$E$76,0)+IF(AND(AC80&gt;=16,AC80&lt;=18),$E$77,0)+IF(AND(AC80&gt;=19,AC80&lt;=22),$E$78,0)+IF(AND(AC80&gt;=23,AC80&lt;=24),$E$79,0)+IF(AC80=$B$47,$B$48,0)</f>
        <v>0</v>
      </c>
      <c r="AH80" s="36">
        <f>IF(AND(AD80&gt;=4,AD80&lt;=6),$E$83,0)+IF(AND(AD80&gt;=7,AD80&lt;=12),$E$84,0)+IF(AND(AD80&gt;=13,AD80&lt;=15),$E$85,0)+IF(AND(AD80&gt;=16,AD80&lt;=18),$E$86,0)+IF(AND(AD80&gt;=19,AD80&lt;=22),$E$87,0)+IF(AND(AD80&gt;=23,AD80&lt;=24),$E$88,0)+IF(AD80=$B$47,$B$48,0)</f>
        <v>0</v>
      </c>
      <c r="AI80" s="4"/>
    </row>
    <row r="81" spans="1:35" ht="16" customHeight="1">
      <c r="N81" s="4">
        <f t="shared" si="36"/>
        <v>78</v>
      </c>
      <c r="O81" s="8">
        <f t="shared" si="30"/>
        <v>110</v>
      </c>
      <c r="P81" s="8">
        <f t="shared" ca="1" si="37"/>
        <v>2716506.72</v>
      </c>
      <c r="Q81" s="8">
        <f t="shared" si="31"/>
        <v>-1800840</v>
      </c>
      <c r="R81" s="8">
        <f t="shared" si="38"/>
        <v>0</v>
      </c>
      <c r="S81" s="8">
        <f t="shared" ca="1" si="32"/>
        <v>915666.7200000002</v>
      </c>
      <c r="T81" s="38">
        <f t="shared" ca="1" si="43"/>
        <v>34653509.11999999</v>
      </c>
      <c r="U81" s="8">
        <f t="shared" ca="1" si="33"/>
        <v>184909352.82390004</v>
      </c>
      <c r="V81" s="8">
        <f t="shared" si="39"/>
        <v>145879459.90669909</v>
      </c>
      <c r="W81" s="8">
        <f t="shared" si="29"/>
        <v>150255843.70390007</v>
      </c>
      <c r="X81" s="8">
        <f t="shared" si="34"/>
        <v>0</v>
      </c>
      <c r="Y81" s="8">
        <f t="shared" si="35"/>
        <v>4376383.7972009722</v>
      </c>
      <c r="Z81" s="8">
        <f t="shared" si="40"/>
        <v>17820000</v>
      </c>
      <c r="AA81" s="7">
        <f t="shared" si="41"/>
        <v>80</v>
      </c>
      <c r="AB81" s="7">
        <f t="shared" si="42"/>
        <v>76</v>
      </c>
      <c r="AC81" s="4" t="str">
        <f t="shared" si="44"/>
        <v>-</v>
      </c>
      <c r="AD81" s="4" t="str">
        <f t="shared" si="45"/>
        <v>-</v>
      </c>
      <c r="AE81" s="36">
        <f>IF(AND(AA81&gt;=4,AA81&lt;=6),$E$56,0)+IF(AND(AA81&gt;=7,AA81&lt;=12),$E$57,0)+IF(AND(AA81&gt;=13,AA81&lt;=15),$E$58,0)+IF(AND(AA81&gt;=16,AA81&lt;=18),$E$59,0)+IF(AND(AA81&gt;=19,AA81&lt;=22),$E$60,0)+IF(AND(AA81&gt;=23,AA81&lt;=24),$E$61,0)+IF(AA81=$B$47,$B$48,0)</f>
        <v>0</v>
      </c>
      <c r="AF81" s="36">
        <f>IF(AND(AB81&gt;=4,AB81&lt;=6),$E$65,0)+IF(AND(AB81&gt;=7,AB81&lt;=12),$E$66,0)+IF(AND(AB81&gt;=13,AB81&lt;=15),$E$67,0)+IF(AND(AB81&gt;=16,AB81&lt;=18),$E$68,0)+IF(AND(AB81&gt;=19,AB81&lt;=22),$E$69,0)+IF(AND(AB81&gt;=23,AB81&lt;=24),$E$70,0)+IF(AB81=$B$47,$B$48,0)</f>
        <v>0</v>
      </c>
      <c r="AG81" s="36">
        <f>IF(AND(AC81&gt;=4,AC81&lt;=6),$E$74,0)+IF(AND(AC81&gt;=7,AC81&lt;=12),$E$75,0)+IF(AND(AC81&gt;=13,AC81&lt;=15),$E$76,0)+IF(AND(AC81&gt;=16,AC81&lt;=18),$E$77,0)+IF(AND(AC81&gt;=19,AC81&lt;=22),$E$78,0)+IF(AND(AC81&gt;=23,AC81&lt;=24),$E$79,0)+IF(AC81=$B$47,$B$48,0)</f>
        <v>0</v>
      </c>
      <c r="AH81" s="36">
        <f>IF(AND(AD81&gt;=4,AD81&lt;=6),$E$83,0)+IF(AND(AD81&gt;=7,AD81&lt;=12),$E$84,0)+IF(AND(AD81&gt;=13,AD81&lt;=15),$E$85,0)+IF(AND(AD81&gt;=16,AD81&lt;=18),$E$86,0)+IF(AND(AD81&gt;=19,AD81&lt;=22),$E$87,0)+IF(AND(AD81&gt;=23,AD81&lt;=24),$E$88,0)+IF(AD81=$B$47,$B$48,0)</f>
        <v>0</v>
      </c>
      <c r="AI81" s="4"/>
    </row>
    <row r="82" spans="1:35" ht="16" customHeight="1">
      <c r="A82" s="32" t="s">
        <v>69</v>
      </c>
      <c r="B82" s="26" t="s">
        <v>82</v>
      </c>
      <c r="C82" s="26" t="s">
        <v>83</v>
      </c>
      <c r="D82" s="32" t="s">
        <v>99</v>
      </c>
      <c r="E82" s="32" t="s">
        <v>98</v>
      </c>
      <c r="N82" s="4">
        <f t="shared" si="36"/>
        <v>79</v>
      </c>
      <c r="O82" s="8">
        <f t="shared" ref="O82:O83" si="46">B$8+N82</f>
        <v>111</v>
      </c>
      <c r="P82" s="8">
        <f t="shared" ref="P82:P83" ca="1" si="47">IF(O82&lt;B$10,B$16,0)*80%+IF(O82&gt;=B$11,B$19*12,0)*90%</f>
        <v>2716506.72</v>
      </c>
      <c r="Q82" s="8">
        <f t="shared" ref="Q82:Q83" si="48">-IF(O82&lt;=B$10,C$32,B$32)*12+IF(O82&gt;B$25,B$24*12,0)</f>
        <v>-1800840</v>
      </c>
      <c r="R82" s="8">
        <f t="shared" si="38"/>
        <v>0</v>
      </c>
      <c r="S82" s="8">
        <f t="shared" ref="S82:S83" ca="1" si="49">SUM(P82:R82)</f>
        <v>915666.7200000002</v>
      </c>
      <c r="T82" s="38">
        <f t="shared" ref="T82:T83" ca="1" si="50">T81+S82</f>
        <v>35569175.839999989</v>
      </c>
      <c r="U82" s="8">
        <f t="shared" ref="U82:U83" ca="1" si="51">T82+W82</f>
        <v>190332694.85501707</v>
      </c>
      <c r="V82" s="8">
        <f t="shared" ref="V82:V83" si="52">V81+X81+Y81</f>
        <v>150255843.70390007</v>
      </c>
      <c r="W82" s="8">
        <f t="shared" ref="W82:W83" si="53">V82+X82+Y82</f>
        <v>154763519.01501706</v>
      </c>
      <c r="X82" s="8">
        <f t="shared" ref="X82:X83" si="54">IF(O82&lt;=B$10,IF(O82&gt;=B$9,B$6*12,0),0)</f>
        <v>0</v>
      </c>
      <c r="Y82" s="8">
        <f t="shared" ref="Y82:Y83" si="55">IF(V82&lt;0,0,((X82/2)+V82)*IF(O82&lt;B$10,B$7,B$38))</f>
        <v>4507675.3111170018</v>
      </c>
      <c r="Z82" s="8">
        <f t="shared" ref="Z82:Z83" si="56">Z81+X82</f>
        <v>17820000</v>
      </c>
      <c r="AA82" s="7">
        <f t="shared" si="41"/>
        <v>81</v>
      </c>
      <c r="AB82" s="7">
        <f t="shared" si="42"/>
        <v>77</v>
      </c>
      <c r="AC82" s="4" t="str">
        <f t="shared" si="44"/>
        <v>-</v>
      </c>
      <c r="AD82" s="4" t="str">
        <f t="shared" si="45"/>
        <v>-</v>
      </c>
      <c r="AE82" s="36">
        <f>IF(AND(AA82&gt;=4,AA82&lt;=6),$E$56,0)+IF(AND(AA82&gt;=7,AA82&lt;=12),$E$57,0)+IF(AND(AA82&gt;=13,AA82&lt;=15),$E$58,0)+IF(AND(AA82&gt;=16,AA82&lt;=18),$E$59,0)+IF(AND(AA82&gt;=19,AA82&lt;=22),$E$60,0)+IF(AND(AA82&gt;=23,AA82&lt;=24),$E$61,0)+IF(AA82=$B$47,$B$48,0)</f>
        <v>0</v>
      </c>
      <c r="AF82" s="36">
        <f>IF(AND(AB82&gt;=4,AB82&lt;=6),$E$65,0)+IF(AND(AB82&gt;=7,AB82&lt;=12),$E$66,0)+IF(AND(AB82&gt;=13,AB82&lt;=15),$E$67,0)+IF(AND(AB82&gt;=16,AB82&lt;=18),$E$68,0)+IF(AND(AB82&gt;=19,AB82&lt;=22),$E$69,0)+IF(AND(AB82&gt;=23,AB82&lt;=24),$E$70,0)+IF(AB82=$B$47,$B$48,0)</f>
        <v>0</v>
      </c>
      <c r="AG82" s="36">
        <f>IF(AND(AC82&gt;=4,AC82&lt;=6),$E$74,0)+IF(AND(AC82&gt;=7,AC82&lt;=12),$E$75,0)+IF(AND(AC82&gt;=13,AC82&lt;=15),$E$76,0)+IF(AND(AC82&gt;=16,AC82&lt;=18),$E$77,0)+IF(AND(AC82&gt;=19,AC82&lt;=22),$E$78,0)+IF(AND(AC82&gt;=23,AC82&lt;=24),$E$79,0)+IF(AC82=$B$47,$B$48,0)</f>
        <v>0</v>
      </c>
      <c r="AH82" s="36">
        <f>IF(AND(AD82&gt;=4,AD82&lt;=6),$E$83,0)+IF(AND(AD82&gt;=7,AD82&lt;=12),$E$84,0)+IF(AND(AD82&gt;=13,AD82&lt;=15),$E$85,0)+IF(AND(AD82&gt;=16,AD82&lt;=18),$E$86,0)+IF(AND(AD82&gt;=19,AD82&lt;=22),$E$87,0)+IF(AND(AD82&gt;=23,AD82&lt;=24),$E$88,0)+IF(AD82=$B$47,$B$48,0)</f>
        <v>0</v>
      </c>
      <c r="AI82" s="4"/>
    </row>
    <row r="83" spans="1:35" ht="16" customHeight="1">
      <c r="A83" s="64" t="s">
        <v>70</v>
      </c>
      <c r="B83" s="33"/>
      <c r="C83" s="29">
        <f>IF(B83=AK$4,AK$5,IF(B83=AL$4,AL$5,0))*10000</f>
        <v>0</v>
      </c>
      <c r="D83" s="34"/>
      <c r="E83" s="31">
        <f>C83/3+D83</f>
        <v>0</v>
      </c>
      <c r="N83" s="4">
        <f t="shared" si="36"/>
        <v>80</v>
      </c>
      <c r="O83" s="8">
        <f t="shared" si="46"/>
        <v>112</v>
      </c>
      <c r="P83" s="8">
        <f t="shared" ca="1" si="47"/>
        <v>2716506.72</v>
      </c>
      <c r="Q83" s="8">
        <f t="shared" si="48"/>
        <v>-1800840</v>
      </c>
      <c r="R83" s="8">
        <f t="shared" si="38"/>
        <v>0</v>
      </c>
      <c r="S83" s="8">
        <f t="shared" ca="1" si="49"/>
        <v>915666.7200000002</v>
      </c>
      <c r="T83" s="38">
        <f t="shared" ca="1" si="50"/>
        <v>36484842.559999987</v>
      </c>
      <c r="U83" s="8">
        <f t="shared" ca="1" si="51"/>
        <v>195891267.14546758</v>
      </c>
      <c r="V83" s="8">
        <f t="shared" si="52"/>
        <v>154763519.01501706</v>
      </c>
      <c r="W83" s="8">
        <f t="shared" si="53"/>
        <v>159406424.58546758</v>
      </c>
      <c r="X83" s="8">
        <f t="shared" si="54"/>
        <v>0</v>
      </c>
      <c r="Y83" s="8">
        <f t="shared" si="55"/>
        <v>4642905.5704505118</v>
      </c>
      <c r="Z83" s="8">
        <f t="shared" si="56"/>
        <v>17820000</v>
      </c>
      <c r="AA83" s="7">
        <f t="shared" si="41"/>
        <v>82</v>
      </c>
      <c r="AB83" s="7">
        <f t="shared" si="42"/>
        <v>78</v>
      </c>
      <c r="AC83" s="4" t="str">
        <f t="shared" si="44"/>
        <v>-</v>
      </c>
      <c r="AD83" s="4" t="str">
        <f t="shared" si="45"/>
        <v>-</v>
      </c>
      <c r="AE83" s="36">
        <f>IF(AND(AA83&gt;=4,AA83&lt;=6),$E$56,0)+IF(AND(AA83&gt;=7,AA83&lt;=12),$E$57,0)+IF(AND(AA83&gt;=13,AA83&lt;=15),$E$58,0)+IF(AND(AA83&gt;=16,AA83&lt;=18),$E$59,0)+IF(AND(AA83&gt;=19,AA83&lt;=22),$E$60,0)+IF(AND(AA83&gt;=23,AA83&lt;=24),$E$61,0)+IF(AA83=$B$47,$B$48,0)</f>
        <v>0</v>
      </c>
      <c r="AF83" s="36">
        <f>IF(AND(AB83&gt;=4,AB83&lt;=6),$E$65,0)+IF(AND(AB83&gt;=7,AB83&lt;=12),$E$66,0)+IF(AND(AB83&gt;=13,AB83&lt;=15),$E$67,0)+IF(AND(AB83&gt;=16,AB83&lt;=18),$E$68,0)+IF(AND(AB83&gt;=19,AB83&lt;=22),$E$69,0)+IF(AND(AB83&gt;=23,AB83&lt;=24),$E$70,0)+IF(AB83=$B$47,$B$48,0)</f>
        <v>0</v>
      </c>
      <c r="AG83" s="36">
        <f>IF(AND(AC83&gt;=4,AC83&lt;=6),$E$74,0)+IF(AND(AC83&gt;=7,AC83&lt;=12),$E$75,0)+IF(AND(AC83&gt;=13,AC83&lt;=15),$E$76,0)+IF(AND(AC83&gt;=16,AC83&lt;=18),$E$77,0)+IF(AND(AC83&gt;=19,AC83&lt;=22),$E$78,0)+IF(AND(AC83&gt;=23,AC83&lt;=24),$E$79,0)+IF(AC83=$B$47,$B$48,0)</f>
        <v>0</v>
      </c>
      <c r="AH83" s="36">
        <f>IF(AND(AD83&gt;=4,AD83&lt;=6),$E$83,0)+IF(AND(AD83&gt;=7,AD83&lt;=12),$E$84,0)+IF(AND(AD83&gt;=13,AD83&lt;=15),$E$85,0)+IF(AND(AD83&gt;=16,AD83&lt;=18),$E$86,0)+IF(AND(AD83&gt;=19,AD83&lt;=22),$E$87,0)+IF(AND(AD83&gt;=23,AD83&lt;=24),$E$88,0)+IF(AD83=$B$47,$B$48,0)</f>
        <v>0</v>
      </c>
      <c r="AI83" s="4"/>
    </row>
    <row r="84" spans="1:35" ht="16" customHeight="1">
      <c r="A84" s="64" t="s">
        <v>71</v>
      </c>
      <c r="B84" s="33"/>
      <c r="C84" s="29">
        <f>IF(B84=AK$4,AK$6,IF(B84=AL$4,AL$6,0))*10000</f>
        <v>0</v>
      </c>
      <c r="D84" s="34"/>
      <c r="E84">
        <f>C84/6+D84</f>
        <v>0</v>
      </c>
      <c r="AI84" s="4"/>
    </row>
    <row r="85" spans="1:35" ht="16" customHeight="1">
      <c r="A85" s="64" t="s">
        <v>72</v>
      </c>
      <c r="B85" s="33"/>
      <c r="C85" s="29">
        <f>IF(B85=AK$4,AK$8,IF(B85=AL$4,AL$8,0))*10000</f>
        <v>0</v>
      </c>
      <c r="D85" s="37"/>
      <c r="E85" s="29">
        <f>C85/3+D85</f>
        <v>0</v>
      </c>
      <c r="F85" s="21"/>
      <c r="G85" s="21"/>
      <c r="H85" s="21"/>
      <c r="I85" s="21"/>
      <c r="J85" s="21"/>
      <c r="K85" s="21"/>
      <c r="L85" s="21"/>
      <c r="M85" s="21"/>
      <c r="AI85" s="4"/>
    </row>
    <row r="86" spans="1:35" ht="16" customHeight="1">
      <c r="A86" s="64" t="s">
        <v>73</v>
      </c>
      <c r="B86" s="33"/>
      <c r="C86" s="29">
        <f>IF(B86=AK$4,AK$7,IF(B86=AL$4,AL$7,0))*10000</f>
        <v>0</v>
      </c>
      <c r="D86" s="37"/>
      <c r="E86" s="29">
        <f>C86/3+D86</f>
        <v>0</v>
      </c>
      <c r="F86" s="31"/>
      <c r="G86" s="31"/>
      <c r="H86" s="31"/>
      <c r="I86" s="31"/>
      <c r="J86" s="31"/>
      <c r="K86" s="31"/>
      <c r="L86" s="31"/>
      <c r="M86" s="31"/>
      <c r="AI86" s="4"/>
    </row>
    <row r="87" spans="1:35" ht="16" customHeight="1">
      <c r="A87" s="64" t="s">
        <v>74</v>
      </c>
      <c r="B87" s="33"/>
      <c r="C87" s="29">
        <f>IF(B87=AK$9,AK$10,IF(B87=AL$9,AL$10,IF(B87=AM$9,AM$10,0)))*10000</f>
        <v>0</v>
      </c>
      <c r="E87">
        <f>C87/4</f>
        <v>0</v>
      </c>
      <c r="AI87" s="4"/>
    </row>
    <row r="88" spans="1:35" ht="16" customHeight="1">
      <c r="A88" s="64" t="s">
        <v>75</v>
      </c>
      <c r="B88" s="33"/>
      <c r="C88" s="29">
        <f>IF(B88=AK$9,AK$11,IF(B88=AL$9,AL$11,IF(B88=AM$9,AM$11,0)))*10000</f>
        <v>0</v>
      </c>
      <c r="E88">
        <f>C88/2</f>
        <v>0</v>
      </c>
      <c r="F88" s="29"/>
      <c r="G88" s="29"/>
      <c r="H88" s="29"/>
      <c r="I88" s="29"/>
      <c r="J88" s="29"/>
      <c r="K88" s="29"/>
      <c r="L88" s="29"/>
      <c r="M88" s="29"/>
      <c r="AI88" s="4"/>
    </row>
    <row r="89" spans="1:35" ht="16" customHeight="1">
      <c r="A89" s="64" t="s">
        <v>85</v>
      </c>
      <c r="C89" s="31">
        <f>SUM(C83:C88)</f>
        <v>0</v>
      </c>
      <c r="F89" s="29"/>
      <c r="G89" s="29"/>
      <c r="H89" s="29"/>
      <c r="I89" s="29"/>
      <c r="J89" s="29"/>
      <c r="K89" s="29"/>
      <c r="L89" s="29"/>
      <c r="M89" s="29"/>
      <c r="AI89" s="4"/>
    </row>
    <row r="90" spans="1:35" ht="16" customHeight="1">
      <c r="AI90" s="4"/>
    </row>
    <row r="91" spans="1:35" ht="16" customHeight="1">
      <c r="AI91" s="4"/>
    </row>
    <row r="92" spans="1:35" ht="16" customHeight="1">
      <c r="AI92" s="4"/>
    </row>
    <row r="93" spans="1:35" ht="16" customHeight="1">
      <c r="AI93" s="4"/>
    </row>
    <row r="94" spans="1:35" ht="16" customHeight="1">
      <c r="AI94" s="4"/>
    </row>
    <row r="95" spans="1:35" ht="16" customHeight="1">
      <c r="AI95" s="4"/>
    </row>
    <row r="96" spans="1:35" ht="16" customHeight="1">
      <c r="AI96" s="4"/>
    </row>
    <row r="97" spans="35:35" ht="16" customHeight="1">
      <c r="AI97" s="4"/>
    </row>
    <row r="98" spans="35:35" ht="16" customHeight="1">
      <c r="AI98" s="4"/>
    </row>
    <row r="99" spans="35:35" ht="16" customHeight="1">
      <c r="AI99" s="4"/>
    </row>
    <row r="100" spans="35:35" ht="16" customHeight="1">
      <c r="AI100" s="4"/>
    </row>
    <row r="101" spans="35:35" ht="16" customHeight="1">
      <c r="AI101" s="4"/>
    </row>
    <row r="102" spans="35:35" ht="16" customHeight="1">
      <c r="AI102" s="4"/>
    </row>
    <row r="103" spans="35:35" ht="16" customHeight="1">
      <c r="AI103" s="4"/>
    </row>
    <row r="104" spans="35:35" ht="16" customHeight="1">
      <c r="AI104" s="4"/>
    </row>
    <row r="105" spans="35:35" ht="16" customHeight="1">
      <c r="AI105" s="4"/>
    </row>
    <row r="106" spans="35:35" ht="16" customHeight="1">
      <c r="AI106" s="4"/>
    </row>
    <row r="107" spans="35:35" ht="16" customHeight="1">
      <c r="AI107" s="4"/>
    </row>
    <row r="108" spans="35:35" ht="16" customHeight="1">
      <c r="AI108" s="4"/>
    </row>
    <row r="109" spans="35:35" ht="16" customHeight="1">
      <c r="AI109" s="4"/>
    </row>
    <row r="110" spans="35:35" ht="16" customHeight="1">
      <c r="AI110" s="4"/>
    </row>
  </sheetData>
  <phoneticPr fontId="5"/>
  <conditionalFormatting sqref="T4:U83">
    <cfRule type="cellIs" dxfId="0" priority="1" operator="lessThanOrEqual">
      <formula>0</formula>
    </cfRule>
  </conditionalFormatting>
  <dataValidations count="5">
    <dataValidation type="list" allowBlank="1" showInputMessage="1" showErrorMessage="1" sqref="B23" xr:uid="{1D56C52E-77BA-B946-91DC-8E4A36F724CE}">
      <formula1>$AL$15:$AL$16</formula1>
    </dataValidation>
    <dataValidation type="list" allowBlank="1" showInputMessage="1" showErrorMessage="1" sqref="B12" xr:uid="{846DA8B5-3568-D34F-B5FC-13CBE6778EF1}">
      <formula1>$AJ$15:$AJ$16</formula1>
    </dataValidation>
    <dataValidation type="list" allowBlank="1" showInputMessage="1" showErrorMessage="1" sqref="B13" xr:uid="{225160AC-C51C-A744-AF0C-3F8385CBF7DF}">
      <formula1>$AK$15:$AK$16</formula1>
    </dataValidation>
    <dataValidation type="list" allowBlank="1" showInputMessage="1" showErrorMessage="1" sqref="B74:B77 B83:B86 B56:B59 B65:B68" xr:uid="{1D84571E-2A2E-F64C-9F29-8C054932511E}">
      <formula1>$AO$9:$AO$10</formula1>
    </dataValidation>
    <dataValidation type="list" allowBlank="1" showInputMessage="1" showErrorMessage="1" sqref="B69:B70 B87:B88 B78:B79 B60:B61" xr:uid="{1493248E-CE61-AB4D-8F74-A54258C64918}">
      <formula1>$AP$9:$AP$11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40"/>
  <sheetViews>
    <sheetView workbookViewId="0">
      <selection activeCell="H23" sqref="H23"/>
    </sheetView>
  </sheetViews>
  <sheetFormatPr baseColWidth="10" defaultColWidth="12.6640625" defaultRowHeight="15.75" customHeight="1"/>
  <sheetData>
    <row r="1" spans="1:7" ht="15.75" customHeight="1">
      <c r="A1" s="10" t="s">
        <v>10</v>
      </c>
      <c r="B1" s="10" t="s">
        <v>11</v>
      </c>
      <c r="C1" s="10" t="s">
        <v>12</v>
      </c>
      <c r="D1" s="10" t="s">
        <v>13</v>
      </c>
      <c r="E1" s="10" t="s">
        <v>14</v>
      </c>
      <c r="G1" s="59" t="s">
        <v>127</v>
      </c>
    </row>
    <row r="2" spans="1:7" ht="15.75" customHeight="1">
      <c r="A2" s="58">
        <v>35000000</v>
      </c>
      <c r="B2" s="1">
        <v>35</v>
      </c>
      <c r="C2" s="11">
        <v>1.0749999999999999E-2</v>
      </c>
      <c r="D2" s="1">
        <v>2022</v>
      </c>
      <c r="E2" s="1">
        <v>1985</v>
      </c>
      <c r="F2" s="1"/>
      <c r="G2" s="59">
        <v>2012</v>
      </c>
    </row>
    <row r="3" spans="1:7" ht="15.75" customHeight="1">
      <c r="A3" s="1"/>
      <c r="B3" s="1"/>
      <c r="C3" s="1"/>
      <c r="D3" s="1"/>
      <c r="E3" s="1"/>
      <c r="F3" s="1"/>
    </row>
    <row r="4" spans="1:7" ht="15.75" customHeight="1">
      <c r="A4" s="12" t="s">
        <v>4</v>
      </c>
      <c r="B4" s="12" t="s">
        <v>6</v>
      </c>
      <c r="C4" s="12" t="s">
        <v>15</v>
      </c>
      <c r="D4" s="12" t="s">
        <v>8</v>
      </c>
      <c r="E4" s="12" t="s">
        <v>16</v>
      </c>
      <c r="F4" s="12" t="s">
        <v>17</v>
      </c>
      <c r="G4" s="1" t="s">
        <v>18</v>
      </c>
    </row>
    <row r="5" spans="1:7" ht="15.75" customHeight="1">
      <c r="A5" s="1">
        <f>D2</f>
        <v>2022</v>
      </c>
      <c r="B5" s="1">
        <f>A5-E2</f>
        <v>37</v>
      </c>
      <c r="C5" s="13">
        <f>A2</f>
        <v>35000000</v>
      </c>
      <c r="D5" s="14">
        <f t="shared" ref="D5:D40" si="0">C5*C$2</f>
        <v>376249.99999999994</v>
      </c>
      <c r="E5" s="14">
        <f t="shared" ref="E5:E40" si="1">-F5-D5</f>
        <v>828947.16871794197</v>
      </c>
      <c r="F5" s="14">
        <f>PMT(C2,B2,C5,0)</f>
        <v>-1205197.168717942</v>
      </c>
      <c r="G5" s="15">
        <f t="shared" ref="G5:G40" si="2">A5-G$2</f>
        <v>10</v>
      </c>
    </row>
    <row r="6" spans="1:7" ht="15.75" customHeight="1">
      <c r="A6" s="1">
        <f t="shared" ref="A6:B40" si="3">A5+1</f>
        <v>2023</v>
      </c>
      <c r="B6" s="1">
        <f>B5+1</f>
        <v>38</v>
      </c>
      <c r="C6" s="14">
        <f t="shared" ref="C6:C40" si="4">C5-E5</f>
        <v>34171052.831282057</v>
      </c>
      <c r="D6" s="14">
        <f t="shared" si="0"/>
        <v>367338.81793628208</v>
      </c>
      <c r="E6" s="14">
        <f t="shared" si="1"/>
        <v>837858.35078165983</v>
      </c>
      <c r="F6" s="14">
        <f t="shared" ref="F6:F40" si="5">F5</f>
        <v>-1205197.168717942</v>
      </c>
      <c r="G6" s="15">
        <f t="shared" si="2"/>
        <v>11</v>
      </c>
    </row>
    <row r="7" spans="1:7" ht="15.75" customHeight="1">
      <c r="A7" s="1">
        <f t="shared" si="3"/>
        <v>2024</v>
      </c>
      <c r="B7" s="1">
        <f t="shared" si="3"/>
        <v>39</v>
      </c>
      <c r="C7" s="14">
        <f t="shared" si="4"/>
        <v>33333194.480500396</v>
      </c>
      <c r="D7" s="14">
        <f t="shared" si="0"/>
        <v>358331.84066537925</v>
      </c>
      <c r="E7" s="14">
        <f t="shared" si="1"/>
        <v>846865.32805256266</v>
      </c>
      <c r="F7" s="14">
        <f t="shared" si="5"/>
        <v>-1205197.168717942</v>
      </c>
      <c r="G7" s="15">
        <f t="shared" si="2"/>
        <v>12</v>
      </c>
    </row>
    <row r="8" spans="1:7" ht="15.75" customHeight="1">
      <c r="A8" s="1">
        <f t="shared" si="3"/>
        <v>2025</v>
      </c>
      <c r="B8" s="1">
        <f t="shared" si="3"/>
        <v>40</v>
      </c>
      <c r="C8" s="14">
        <f t="shared" si="4"/>
        <v>32486329.152447835</v>
      </c>
      <c r="D8" s="14">
        <f t="shared" si="0"/>
        <v>349228.0383888142</v>
      </c>
      <c r="E8" s="14">
        <f t="shared" si="1"/>
        <v>855969.13032912777</v>
      </c>
      <c r="F8" s="14">
        <f t="shared" si="5"/>
        <v>-1205197.168717942</v>
      </c>
      <c r="G8" s="15">
        <f t="shared" si="2"/>
        <v>13</v>
      </c>
    </row>
    <row r="9" spans="1:7" ht="15.75" customHeight="1">
      <c r="A9" s="1">
        <f t="shared" si="3"/>
        <v>2026</v>
      </c>
      <c r="B9" s="1">
        <f t="shared" si="3"/>
        <v>41</v>
      </c>
      <c r="C9" s="14">
        <f t="shared" si="4"/>
        <v>31630360.022118706</v>
      </c>
      <c r="D9" s="14">
        <f t="shared" si="0"/>
        <v>340026.37023777608</v>
      </c>
      <c r="E9" s="14">
        <f t="shared" si="1"/>
        <v>865170.79848016589</v>
      </c>
      <c r="F9" s="14">
        <f t="shared" si="5"/>
        <v>-1205197.168717942</v>
      </c>
      <c r="G9" s="15">
        <f t="shared" si="2"/>
        <v>14</v>
      </c>
    </row>
    <row r="10" spans="1:7" ht="15.75" customHeight="1">
      <c r="A10" s="1">
        <f t="shared" si="3"/>
        <v>2027</v>
      </c>
      <c r="B10" s="1">
        <f t="shared" si="3"/>
        <v>42</v>
      </c>
      <c r="C10" s="14">
        <f t="shared" si="4"/>
        <v>30765189.223638542</v>
      </c>
      <c r="D10" s="14">
        <f t="shared" si="0"/>
        <v>330725.78415411431</v>
      </c>
      <c r="E10" s="14">
        <f t="shared" si="1"/>
        <v>874471.38456382765</v>
      </c>
      <c r="F10" s="14">
        <f t="shared" si="5"/>
        <v>-1205197.168717942</v>
      </c>
      <c r="G10" s="15">
        <f t="shared" si="2"/>
        <v>15</v>
      </c>
    </row>
    <row r="11" spans="1:7" ht="15.75" customHeight="1">
      <c r="A11" s="1">
        <f t="shared" si="3"/>
        <v>2028</v>
      </c>
      <c r="B11" s="1">
        <f t="shared" si="3"/>
        <v>43</v>
      </c>
      <c r="C11" s="14">
        <f t="shared" si="4"/>
        <v>29890717.839074716</v>
      </c>
      <c r="D11" s="14">
        <f t="shared" si="0"/>
        <v>321325.21677005314</v>
      </c>
      <c r="E11" s="14">
        <f t="shared" si="1"/>
        <v>883871.95194788883</v>
      </c>
      <c r="F11" s="14">
        <f t="shared" si="5"/>
        <v>-1205197.168717942</v>
      </c>
      <c r="G11" s="15">
        <f t="shared" si="2"/>
        <v>16</v>
      </c>
    </row>
    <row r="12" spans="1:7" ht="15.75" customHeight="1">
      <c r="A12" s="1">
        <f t="shared" si="3"/>
        <v>2029</v>
      </c>
      <c r="B12" s="1">
        <f t="shared" si="3"/>
        <v>44</v>
      </c>
      <c r="C12" s="14">
        <f t="shared" si="4"/>
        <v>29006845.887126826</v>
      </c>
      <c r="D12" s="14">
        <f t="shared" si="0"/>
        <v>311823.59328661335</v>
      </c>
      <c r="E12" s="14">
        <f t="shared" si="1"/>
        <v>893373.57543132862</v>
      </c>
      <c r="F12" s="14">
        <f t="shared" si="5"/>
        <v>-1205197.168717942</v>
      </c>
      <c r="G12" s="15">
        <f t="shared" si="2"/>
        <v>17</v>
      </c>
    </row>
    <row r="13" spans="1:7" ht="15.75" customHeight="1">
      <c r="A13" s="1">
        <f t="shared" si="3"/>
        <v>2030</v>
      </c>
      <c r="B13" s="1">
        <f t="shared" si="3"/>
        <v>45</v>
      </c>
      <c r="C13" s="14">
        <f t="shared" si="4"/>
        <v>28113472.311695497</v>
      </c>
      <c r="D13" s="14">
        <f t="shared" si="0"/>
        <v>302219.82735072658</v>
      </c>
      <c r="E13" s="14">
        <f t="shared" si="1"/>
        <v>902977.34136721538</v>
      </c>
      <c r="F13" s="14">
        <f t="shared" si="5"/>
        <v>-1205197.168717942</v>
      </c>
      <c r="G13" s="15">
        <f t="shared" si="2"/>
        <v>18</v>
      </c>
    </row>
    <row r="14" spans="1:7" ht="15.75" customHeight="1">
      <c r="A14" s="1">
        <f t="shared" si="3"/>
        <v>2031</v>
      </c>
      <c r="B14" s="1">
        <f t="shared" si="3"/>
        <v>46</v>
      </c>
      <c r="C14" s="14">
        <f t="shared" si="4"/>
        <v>27210494.970328283</v>
      </c>
      <c r="D14" s="14">
        <f t="shared" si="0"/>
        <v>292512.82093102904</v>
      </c>
      <c r="E14" s="14">
        <f t="shared" si="1"/>
        <v>912684.34778691293</v>
      </c>
      <c r="F14" s="14">
        <f t="shared" si="5"/>
        <v>-1205197.168717942</v>
      </c>
      <c r="G14" s="15">
        <f t="shared" si="2"/>
        <v>19</v>
      </c>
    </row>
    <row r="15" spans="1:7" ht="15.75" customHeight="1">
      <c r="A15" s="1">
        <f t="shared" si="3"/>
        <v>2032</v>
      </c>
      <c r="B15" s="1">
        <f t="shared" si="3"/>
        <v>47</v>
      </c>
      <c r="C15" s="14">
        <f t="shared" si="4"/>
        <v>26297810.622541368</v>
      </c>
      <c r="D15" s="14">
        <f t="shared" si="0"/>
        <v>282701.46419231966</v>
      </c>
      <c r="E15" s="14">
        <f t="shared" si="1"/>
        <v>922495.70452562231</v>
      </c>
      <c r="F15" s="14">
        <f t="shared" si="5"/>
        <v>-1205197.168717942</v>
      </c>
      <c r="G15" s="15">
        <f t="shared" si="2"/>
        <v>20</v>
      </c>
    </row>
    <row r="16" spans="1:7" ht="15.75" customHeight="1">
      <c r="A16" s="1">
        <f t="shared" si="3"/>
        <v>2033</v>
      </c>
      <c r="B16" s="1">
        <f t="shared" si="3"/>
        <v>48</v>
      </c>
      <c r="C16" s="14">
        <f t="shared" si="4"/>
        <v>25375314.918015745</v>
      </c>
      <c r="D16" s="14">
        <f t="shared" si="0"/>
        <v>272784.63536866923</v>
      </c>
      <c r="E16" s="14">
        <f t="shared" si="1"/>
        <v>932412.5333492728</v>
      </c>
      <c r="F16" s="14">
        <f t="shared" si="5"/>
        <v>-1205197.168717942</v>
      </c>
      <c r="G16" s="15">
        <f t="shared" si="2"/>
        <v>21</v>
      </c>
    </row>
    <row r="17" spans="1:8" ht="15.75" customHeight="1">
      <c r="A17" s="1">
        <f t="shared" si="3"/>
        <v>2034</v>
      </c>
      <c r="B17" s="1">
        <f t="shared" si="3"/>
        <v>49</v>
      </c>
      <c r="C17" s="14">
        <f t="shared" si="4"/>
        <v>24442902.384666473</v>
      </c>
      <c r="D17" s="14">
        <f t="shared" si="0"/>
        <v>262761.20063516457</v>
      </c>
      <c r="E17" s="14">
        <f t="shared" si="1"/>
        <v>942435.96808277746</v>
      </c>
      <c r="F17" s="14">
        <f t="shared" si="5"/>
        <v>-1205197.168717942</v>
      </c>
      <c r="G17" s="15">
        <f t="shared" si="2"/>
        <v>22</v>
      </c>
    </row>
    <row r="18" spans="1:8" ht="15.75" customHeight="1">
      <c r="A18" s="1">
        <f t="shared" si="3"/>
        <v>2035</v>
      </c>
      <c r="B18" s="1">
        <f t="shared" si="3"/>
        <v>50</v>
      </c>
      <c r="C18" s="14">
        <f t="shared" si="4"/>
        <v>23500466.416583695</v>
      </c>
      <c r="D18" s="14">
        <f t="shared" si="0"/>
        <v>252630.01397827468</v>
      </c>
      <c r="E18" s="14">
        <f t="shared" si="1"/>
        <v>952567.15473966731</v>
      </c>
      <c r="F18" s="14">
        <f t="shared" si="5"/>
        <v>-1205197.168717942</v>
      </c>
      <c r="G18" s="15">
        <f t="shared" si="2"/>
        <v>23</v>
      </c>
    </row>
    <row r="19" spans="1:8" ht="15.75" customHeight="1">
      <c r="A19" s="1">
        <f t="shared" si="3"/>
        <v>2036</v>
      </c>
      <c r="B19" s="1">
        <f t="shared" si="3"/>
        <v>51</v>
      </c>
      <c r="C19" s="14">
        <f t="shared" si="4"/>
        <v>22547899.261844028</v>
      </c>
      <c r="D19" s="14">
        <f t="shared" si="0"/>
        <v>242389.91706482327</v>
      </c>
      <c r="E19" s="14">
        <f t="shared" si="1"/>
        <v>962807.25165311876</v>
      </c>
      <c r="F19" s="14">
        <f t="shared" si="5"/>
        <v>-1205197.168717942</v>
      </c>
      <c r="G19" s="15">
        <f t="shared" si="2"/>
        <v>24</v>
      </c>
    </row>
    <row r="20" spans="1:8" ht="15.75" customHeight="1">
      <c r="A20" s="1">
        <f t="shared" si="3"/>
        <v>2037</v>
      </c>
      <c r="B20" s="1">
        <f t="shared" si="3"/>
        <v>52</v>
      </c>
      <c r="C20" s="14">
        <f t="shared" si="4"/>
        <v>21585092.010190908</v>
      </c>
      <c r="D20" s="14">
        <f t="shared" si="0"/>
        <v>232039.73910955223</v>
      </c>
      <c r="E20" s="14">
        <f t="shared" si="1"/>
        <v>973157.42960838974</v>
      </c>
      <c r="F20" s="14">
        <f t="shared" si="5"/>
        <v>-1205197.168717942</v>
      </c>
      <c r="G20" s="15">
        <f t="shared" si="2"/>
        <v>25</v>
      </c>
    </row>
    <row r="21" spans="1:8" ht="15.75" customHeight="1">
      <c r="A21" s="1">
        <f t="shared" si="3"/>
        <v>2038</v>
      </c>
      <c r="B21" s="1">
        <f t="shared" si="3"/>
        <v>53</v>
      </c>
      <c r="C21" s="14">
        <f t="shared" si="4"/>
        <v>20611934.580582518</v>
      </c>
      <c r="D21" s="14">
        <f t="shared" si="0"/>
        <v>221578.29674126205</v>
      </c>
      <c r="E21" s="14">
        <f t="shared" si="1"/>
        <v>983618.87197667989</v>
      </c>
      <c r="F21" s="14">
        <f t="shared" si="5"/>
        <v>-1205197.168717942</v>
      </c>
      <c r="G21" s="15">
        <f t="shared" si="2"/>
        <v>26</v>
      </c>
    </row>
    <row r="22" spans="1:8" ht="15.75" customHeight="1">
      <c r="A22" s="1">
        <f t="shared" si="3"/>
        <v>2039</v>
      </c>
      <c r="B22" s="1">
        <f t="shared" si="3"/>
        <v>54</v>
      </c>
      <c r="C22" s="14">
        <f t="shared" si="4"/>
        <v>19628315.708605837</v>
      </c>
      <c r="D22" s="14">
        <f t="shared" si="0"/>
        <v>211004.39386751273</v>
      </c>
      <c r="E22" s="14">
        <f t="shared" si="1"/>
        <v>994192.77485042927</v>
      </c>
      <c r="F22" s="14">
        <f t="shared" si="5"/>
        <v>-1205197.168717942</v>
      </c>
      <c r="G22" s="15">
        <f t="shared" si="2"/>
        <v>27</v>
      </c>
    </row>
    <row r="23" spans="1:8" ht="15.75" customHeight="1">
      <c r="A23" s="1">
        <f t="shared" si="3"/>
        <v>2040</v>
      </c>
      <c r="B23" s="1">
        <f t="shared" si="3"/>
        <v>55</v>
      </c>
      <c r="C23" s="14">
        <f t="shared" si="4"/>
        <v>18634122.933755409</v>
      </c>
      <c r="D23" s="14">
        <f t="shared" si="0"/>
        <v>200316.82153787062</v>
      </c>
      <c r="E23" s="14">
        <f t="shared" si="1"/>
        <v>1004880.3471800713</v>
      </c>
      <c r="F23" s="14">
        <f t="shared" si="5"/>
        <v>-1205197.168717942</v>
      </c>
      <c r="G23" s="15">
        <f t="shared" si="2"/>
        <v>28</v>
      </c>
    </row>
    <row r="24" spans="1:8" ht="15.75" customHeight="1">
      <c r="A24" s="1">
        <f t="shared" si="3"/>
        <v>2041</v>
      </c>
      <c r="B24" s="1">
        <f t="shared" si="3"/>
        <v>56</v>
      </c>
      <c r="C24" s="14">
        <f t="shared" si="4"/>
        <v>17629242.586575337</v>
      </c>
      <c r="D24" s="14">
        <f t="shared" si="0"/>
        <v>189514.35780568485</v>
      </c>
      <c r="E24" s="14">
        <f t="shared" si="1"/>
        <v>1015682.8109122571</v>
      </c>
      <c r="F24" s="14">
        <f t="shared" si="5"/>
        <v>-1205197.168717942</v>
      </c>
      <c r="G24" s="15">
        <f t="shared" si="2"/>
        <v>29</v>
      </c>
    </row>
    <row r="25" spans="1:8" ht="15.75" customHeight="1">
      <c r="A25" s="1">
        <f t="shared" si="3"/>
        <v>2042</v>
      </c>
      <c r="B25" s="1">
        <f t="shared" si="3"/>
        <v>57</v>
      </c>
      <c r="C25" s="14">
        <f t="shared" si="4"/>
        <v>16613559.77566308</v>
      </c>
      <c r="D25" s="14">
        <f t="shared" si="0"/>
        <v>178595.7675883781</v>
      </c>
      <c r="E25" s="14">
        <f t="shared" si="1"/>
        <v>1026601.4011295638</v>
      </c>
      <c r="F25" s="14">
        <f t="shared" si="5"/>
        <v>-1205197.168717942</v>
      </c>
      <c r="G25" s="15">
        <f t="shared" si="2"/>
        <v>30</v>
      </c>
      <c r="H25" s="1"/>
    </row>
    <row r="26" spans="1:8" ht="15.75" customHeight="1">
      <c r="A26" s="1">
        <f t="shared" si="3"/>
        <v>2043</v>
      </c>
      <c r="B26" s="1">
        <f t="shared" si="3"/>
        <v>58</v>
      </c>
      <c r="C26" s="14">
        <f t="shared" si="4"/>
        <v>15586958.374533515</v>
      </c>
      <c r="D26" s="14">
        <f t="shared" si="0"/>
        <v>167559.80252623529</v>
      </c>
      <c r="E26" s="14">
        <f t="shared" si="1"/>
        <v>1037637.3661917066</v>
      </c>
      <c r="F26" s="14">
        <f t="shared" si="5"/>
        <v>-1205197.168717942</v>
      </c>
      <c r="G26" s="15">
        <f t="shared" si="2"/>
        <v>31</v>
      </c>
    </row>
    <row r="27" spans="1:8" ht="15.75" customHeight="1">
      <c r="A27" s="1">
        <f t="shared" si="3"/>
        <v>2044</v>
      </c>
      <c r="B27" s="1">
        <f t="shared" si="3"/>
        <v>59</v>
      </c>
      <c r="C27" s="14">
        <f t="shared" si="4"/>
        <v>14549321.008341808</v>
      </c>
      <c r="D27" s="14">
        <f t="shared" si="0"/>
        <v>156405.20083967442</v>
      </c>
      <c r="E27" s="14">
        <f t="shared" si="1"/>
        <v>1048791.9678782676</v>
      </c>
      <c r="F27" s="14">
        <f t="shared" si="5"/>
        <v>-1205197.168717942</v>
      </c>
      <c r="G27" s="15">
        <f t="shared" si="2"/>
        <v>32</v>
      </c>
      <c r="H27" s="1"/>
    </row>
    <row r="28" spans="1:8" ht="15.75" customHeight="1">
      <c r="A28" s="1">
        <f t="shared" si="3"/>
        <v>2045</v>
      </c>
      <c r="B28" s="1">
        <f t="shared" si="3"/>
        <v>60</v>
      </c>
      <c r="C28" s="14">
        <f t="shared" si="4"/>
        <v>13500529.040463541</v>
      </c>
      <c r="D28" s="14">
        <f t="shared" si="0"/>
        <v>145130.68718498305</v>
      </c>
      <c r="E28" s="14">
        <f t="shared" si="1"/>
        <v>1060066.4815329588</v>
      </c>
      <c r="F28" s="14">
        <f t="shared" si="5"/>
        <v>-1205197.168717942</v>
      </c>
      <c r="G28" s="15">
        <f t="shared" si="2"/>
        <v>33</v>
      </c>
    </row>
    <row r="29" spans="1:8" ht="15.75" customHeight="1">
      <c r="A29" s="1">
        <f t="shared" si="3"/>
        <v>2046</v>
      </c>
      <c r="B29" s="1">
        <f t="shared" si="3"/>
        <v>61</v>
      </c>
      <c r="C29" s="14">
        <f t="shared" si="4"/>
        <v>12440462.558930581</v>
      </c>
      <c r="D29" s="14">
        <f t="shared" si="0"/>
        <v>133734.97250850374</v>
      </c>
      <c r="E29" s="14">
        <f t="shared" si="1"/>
        <v>1071462.1962094381</v>
      </c>
      <c r="F29" s="14">
        <f t="shared" si="5"/>
        <v>-1205197.168717942</v>
      </c>
      <c r="G29" s="15">
        <f t="shared" si="2"/>
        <v>34</v>
      </c>
    </row>
    <row r="30" spans="1:8" ht="15.75" customHeight="1">
      <c r="A30" s="1">
        <f t="shared" si="3"/>
        <v>2047</v>
      </c>
      <c r="B30" s="1">
        <f t="shared" si="3"/>
        <v>62</v>
      </c>
      <c r="C30" s="14">
        <f t="shared" si="4"/>
        <v>11369000.362721143</v>
      </c>
      <c r="D30" s="14">
        <f t="shared" si="0"/>
        <v>122216.75389925228</v>
      </c>
      <c r="E30" s="14">
        <f t="shared" si="1"/>
        <v>1082980.4148186897</v>
      </c>
      <c r="F30" s="14">
        <f t="shared" si="5"/>
        <v>-1205197.168717942</v>
      </c>
      <c r="G30" s="15">
        <f t="shared" si="2"/>
        <v>35</v>
      </c>
    </row>
    <row r="31" spans="1:8" ht="15.75" customHeight="1">
      <c r="A31" s="1">
        <f t="shared" si="3"/>
        <v>2048</v>
      </c>
      <c r="B31" s="1">
        <f t="shared" si="3"/>
        <v>63</v>
      </c>
      <c r="C31" s="14">
        <f t="shared" si="4"/>
        <v>10286019.947902454</v>
      </c>
      <c r="D31" s="14">
        <f t="shared" si="0"/>
        <v>110574.71443995138</v>
      </c>
      <c r="E31" s="14">
        <f t="shared" si="1"/>
        <v>1094622.4542779906</v>
      </c>
      <c r="F31" s="14">
        <f t="shared" si="5"/>
        <v>-1205197.168717942</v>
      </c>
      <c r="G31" s="15">
        <f t="shared" si="2"/>
        <v>36</v>
      </c>
    </row>
    <row r="32" spans="1:8" ht="15.75" customHeight="1">
      <c r="A32" s="1">
        <f t="shared" si="3"/>
        <v>2049</v>
      </c>
      <c r="B32" s="1">
        <f t="shared" si="3"/>
        <v>64</v>
      </c>
      <c r="C32" s="14">
        <f t="shared" si="4"/>
        <v>9191397.4936244637</v>
      </c>
      <c r="D32" s="14">
        <f t="shared" si="0"/>
        <v>98807.523056462975</v>
      </c>
      <c r="E32" s="14">
        <f t="shared" si="1"/>
        <v>1106389.6456614791</v>
      </c>
      <c r="F32" s="14">
        <f t="shared" si="5"/>
        <v>-1205197.168717942</v>
      </c>
      <c r="G32" s="15">
        <f t="shared" si="2"/>
        <v>37</v>
      </c>
    </row>
    <row r="33" spans="1:8" ht="15.75" customHeight="1">
      <c r="A33" s="1">
        <f t="shared" si="3"/>
        <v>2050</v>
      </c>
      <c r="B33" s="1">
        <f t="shared" si="3"/>
        <v>65</v>
      </c>
      <c r="C33" s="14">
        <f t="shared" si="4"/>
        <v>8085007.8479629848</v>
      </c>
      <c r="D33" s="14">
        <f t="shared" si="0"/>
        <v>86913.834365602073</v>
      </c>
      <c r="E33" s="14">
        <f t="shared" si="1"/>
        <v>1118283.3343523399</v>
      </c>
      <c r="F33" s="14">
        <f t="shared" si="5"/>
        <v>-1205197.168717942</v>
      </c>
      <c r="G33" s="15">
        <f t="shared" si="2"/>
        <v>38</v>
      </c>
    </row>
    <row r="34" spans="1:8" ht="15.75" customHeight="1">
      <c r="A34" s="1">
        <f t="shared" si="3"/>
        <v>2051</v>
      </c>
      <c r="B34" s="1">
        <f t="shared" si="3"/>
        <v>66</v>
      </c>
      <c r="C34" s="14">
        <f t="shared" si="4"/>
        <v>6966724.5136106452</v>
      </c>
      <c r="D34" s="14">
        <f t="shared" si="0"/>
        <v>74892.288521314433</v>
      </c>
      <c r="E34" s="14">
        <f t="shared" si="1"/>
        <v>1130304.8801966275</v>
      </c>
      <c r="F34" s="14">
        <f t="shared" si="5"/>
        <v>-1205197.168717942</v>
      </c>
      <c r="G34" s="15">
        <f t="shared" si="2"/>
        <v>39</v>
      </c>
    </row>
    <row r="35" spans="1:8" ht="15.75" customHeight="1">
      <c r="A35" s="1">
        <f t="shared" si="3"/>
        <v>2052</v>
      </c>
      <c r="B35" s="1">
        <f t="shared" si="3"/>
        <v>67</v>
      </c>
      <c r="C35" s="14">
        <f t="shared" si="4"/>
        <v>5836419.633414018</v>
      </c>
      <c r="D35" s="14">
        <f t="shared" si="0"/>
        <v>62741.511059200689</v>
      </c>
      <c r="E35" s="14">
        <f t="shared" si="1"/>
        <v>1142455.6576587413</v>
      </c>
      <c r="F35" s="14">
        <f t="shared" si="5"/>
        <v>-1205197.168717942</v>
      </c>
      <c r="G35" s="15">
        <f t="shared" si="2"/>
        <v>40</v>
      </c>
      <c r="H35" s="1"/>
    </row>
    <row r="36" spans="1:8" ht="15.75" customHeight="1">
      <c r="A36" s="1">
        <f t="shared" si="3"/>
        <v>2053</v>
      </c>
      <c r="B36" s="1">
        <f t="shared" si="3"/>
        <v>68</v>
      </c>
      <c r="C36" s="14">
        <f t="shared" si="4"/>
        <v>4693963.9757552762</v>
      </c>
      <c r="D36" s="14">
        <f t="shared" si="0"/>
        <v>50460.112739369215</v>
      </c>
      <c r="E36" s="14">
        <f t="shared" si="1"/>
        <v>1154737.0559785727</v>
      </c>
      <c r="F36" s="14">
        <f t="shared" si="5"/>
        <v>-1205197.168717942</v>
      </c>
      <c r="G36" s="15">
        <f t="shared" si="2"/>
        <v>41</v>
      </c>
    </row>
    <row r="37" spans="1:8" ht="15.75" customHeight="1">
      <c r="A37" s="1">
        <f t="shared" si="3"/>
        <v>2054</v>
      </c>
      <c r="B37" s="1">
        <f t="shared" si="3"/>
        <v>69</v>
      </c>
      <c r="C37" s="14">
        <f t="shared" si="4"/>
        <v>3539226.9197767032</v>
      </c>
      <c r="D37" s="14">
        <f t="shared" si="0"/>
        <v>38046.689387599559</v>
      </c>
      <c r="E37" s="14">
        <f t="shared" si="1"/>
        <v>1167150.4793303425</v>
      </c>
      <c r="F37" s="14">
        <f t="shared" si="5"/>
        <v>-1205197.168717942</v>
      </c>
      <c r="G37" s="15">
        <f t="shared" si="2"/>
        <v>42</v>
      </c>
    </row>
    <row r="38" spans="1:8" ht="15.75" customHeight="1">
      <c r="A38" s="1">
        <f t="shared" si="3"/>
        <v>2055</v>
      </c>
      <c r="B38" s="1">
        <f t="shared" si="3"/>
        <v>70</v>
      </c>
      <c r="C38" s="14">
        <f t="shared" si="4"/>
        <v>2372076.440446361</v>
      </c>
      <c r="D38" s="14">
        <f t="shared" si="0"/>
        <v>25499.821734798377</v>
      </c>
      <c r="E38" s="14">
        <f t="shared" si="1"/>
        <v>1179697.3469831436</v>
      </c>
      <c r="F38" s="14">
        <f t="shared" si="5"/>
        <v>-1205197.168717942</v>
      </c>
      <c r="G38" s="15">
        <f t="shared" si="2"/>
        <v>43</v>
      </c>
    </row>
    <row r="39" spans="1:8" ht="15.75" customHeight="1">
      <c r="A39" s="1">
        <f t="shared" si="3"/>
        <v>2056</v>
      </c>
      <c r="B39" s="1">
        <f t="shared" si="3"/>
        <v>71</v>
      </c>
      <c r="C39" s="14">
        <f t="shared" si="4"/>
        <v>1192379.0934632174</v>
      </c>
      <c r="D39" s="14">
        <f t="shared" si="0"/>
        <v>12818.075254729585</v>
      </c>
      <c r="E39" s="14">
        <f t="shared" si="1"/>
        <v>1192379.0934632125</v>
      </c>
      <c r="F39" s="14">
        <f t="shared" si="5"/>
        <v>-1205197.168717942</v>
      </c>
      <c r="G39" s="15">
        <f t="shared" si="2"/>
        <v>44</v>
      </c>
    </row>
    <row r="40" spans="1:8" ht="15.75" customHeight="1">
      <c r="A40" s="1">
        <f t="shared" si="3"/>
        <v>2057</v>
      </c>
      <c r="B40" s="1">
        <f t="shared" si="3"/>
        <v>72</v>
      </c>
      <c r="C40" s="14">
        <f t="shared" si="4"/>
        <v>4.8894435167312622E-9</v>
      </c>
      <c r="D40" s="14">
        <f t="shared" si="0"/>
        <v>5.2561517804861064E-11</v>
      </c>
      <c r="E40" s="14">
        <f t="shared" si="1"/>
        <v>1205197.168717942</v>
      </c>
      <c r="F40" s="14">
        <f t="shared" si="5"/>
        <v>-1205197.168717942</v>
      </c>
      <c r="G40" s="15">
        <f t="shared" si="2"/>
        <v>45</v>
      </c>
      <c r="H40" s="1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資産運用（積立投資信託）</vt:lpstr>
      <vt:lpstr>住宅ローン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Lapis</cp:lastModifiedBy>
  <dcterms:created xsi:type="dcterms:W3CDTF">2022-07-30T04:18:10Z</dcterms:created>
  <dcterms:modified xsi:type="dcterms:W3CDTF">2022-07-30T05:15:49Z</dcterms:modified>
</cp:coreProperties>
</file>